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updateLinks="never"/>
  <mc:AlternateContent xmlns:mc="http://schemas.openxmlformats.org/markup-compatibility/2006">
    <mc:Choice Requires="x15">
      <x15ac:absPath xmlns:x15ac="http://schemas.microsoft.com/office/spreadsheetml/2010/11/ac" url="C:\Users\550.OPTIPAC\Desktop\"/>
    </mc:Choice>
  </mc:AlternateContent>
  <xr:revisionPtr revIDLastSave="0" documentId="13_ncr:1_{13B5EAB5-7F1A-4BD2-9A00-EABB5D6062CF}" xr6:coauthVersionLast="47" xr6:coauthVersionMax="47" xr10:uidLastSave="{00000000-0000-0000-0000-000000000000}"/>
  <workbookProtection workbookAlgorithmName="SHA-512" workbookHashValue="Hi4HarkaidBdeTiNVHvhK1WvDZxprWDB4AePLuTCjRfQmTjxwCd4kf8hyMcXtcRnB2mr0N4UP3eQN+vHV9dOMg==" workbookSaltValue="odPOv79GXfuLkydg5OiRFw==" workbookSpinCount="100000" lockStructure="1"/>
  <bookViews>
    <workbookView xWindow="4410" yWindow="120" windowWidth="23505" windowHeight="20415" tabRatio="675" xr2:uid="{00000000-000D-0000-FFFF-FFFF00000000}"/>
  </bookViews>
  <sheets>
    <sheet name="mycut" sheetId="3" r:id="rId1"/>
    <sheet name="kalkulation" sheetId="6" state="hidden" r:id="rId2"/>
    <sheet name="angebot" sheetId="12" state="hidden" r:id="rId3"/>
    <sheet name="material" sheetId="5" state="hidden" r:id="rId4"/>
    <sheet name="schneiden" sheetId="7" state="hidden" r:id="rId5"/>
    <sheet name="drucken" sheetId="8" state="hidden" r:id="rId6"/>
    <sheet name="kleben" sheetId="9" state="hidden" r:id="rId7"/>
    <sheet name="verschluss" sheetId="10" state="hidden" r:id="rId8"/>
    <sheet name="bogenpreise" sheetId="18" state="hidden" r:id="rId9"/>
    <sheet name="facts-alt" sheetId="1" state="hidden" r:id="rId10"/>
    <sheet name="marge" sheetId="19" state="hidden" r:id="rId11"/>
  </sheets>
  <externalReferences>
    <externalReference r:id="rId12"/>
  </externalReferences>
  <definedNames>
    <definedName name="_xlnm.Print_Area" localSheetId="2">angebot!$A$1:$AY$42</definedName>
    <definedName name="_xlnm.Print_Area" localSheetId="0">mycut!$A$1:$I$52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C42" i="8" l="1"/>
  <c r="AQ42" i="8"/>
  <c r="AE42" i="8"/>
  <c r="S42" i="8"/>
  <c r="G42" i="8"/>
  <c r="B6" i="8"/>
  <c r="BA42" i="8" l="1"/>
  <c r="BA41" i="8"/>
  <c r="BA40" i="8"/>
  <c r="BA39" i="8"/>
  <c r="BA38" i="8"/>
  <c r="BA37" i="8"/>
  <c r="BA36" i="8"/>
  <c r="BA35" i="8"/>
  <c r="BA34" i="8"/>
  <c r="BA33" i="8"/>
  <c r="BA32" i="8"/>
  <c r="BA31" i="8"/>
  <c r="BA30" i="8"/>
  <c r="BA29" i="8"/>
  <c r="BA28" i="8"/>
  <c r="BA27" i="8"/>
  <c r="BA26" i="8"/>
  <c r="AO42" i="8"/>
  <c r="AO41" i="8"/>
  <c r="AO40" i="8"/>
  <c r="AO39" i="8"/>
  <c r="AO38" i="8"/>
  <c r="AO37" i="8"/>
  <c r="AO36" i="8"/>
  <c r="AO35" i="8"/>
  <c r="AO34" i="8"/>
  <c r="AO33" i="8"/>
  <c r="AO32" i="8"/>
  <c r="AO31" i="8"/>
  <c r="AO30" i="8"/>
  <c r="AO29" i="8"/>
  <c r="AO28" i="8"/>
  <c r="AO27" i="8"/>
  <c r="AO26" i="8"/>
  <c r="AC42" i="8"/>
  <c r="AC41" i="8"/>
  <c r="AC40" i="8"/>
  <c r="AC39" i="8"/>
  <c r="AC38" i="8"/>
  <c r="AC37" i="8"/>
  <c r="AC36" i="8"/>
  <c r="AC35" i="8"/>
  <c r="AC34" i="8"/>
  <c r="AC33" i="8"/>
  <c r="AC32" i="8"/>
  <c r="AC31" i="8"/>
  <c r="AC30" i="8"/>
  <c r="AC29" i="8"/>
  <c r="AC28" i="8"/>
  <c r="AC27" i="8"/>
  <c r="AC26" i="8"/>
  <c r="Q42" i="8"/>
  <c r="Q41" i="8"/>
  <c r="Q40" i="8"/>
  <c r="Q39" i="8"/>
  <c r="Q38" i="8"/>
  <c r="Q37" i="8"/>
  <c r="Q36" i="8"/>
  <c r="Q35" i="8"/>
  <c r="Q34" i="8"/>
  <c r="Q33" i="8"/>
  <c r="Q32" i="8"/>
  <c r="Q31" i="8"/>
  <c r="Q30" i="8"/>
  <c r="Q29" i="8"/>
  <c r="Q28" i="8"/>
  <c r="Q27" i="8"/>
  <c r="Q26" i="8"/>
  <c r="E27" i="8" l="1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26" i="8"/>
  <c r="AZ19" i="8" l="1"/>
  <c r="AZ18" i="8"/>
  <c r="AX3" i="8"/>
  <c r="AX7" i="8" s="1"/>
  <c r="AX4" i="8"/>
  <c r="AX5" i="8"/>
  <c r="AN19" i="8"/>
  <c r="AN18" i="8"/>
  <c r="AB19" i="8"/>
  <c r="AB18" i="8"/>
  <c r="P19" i="8"/>
  <c r="P18" i="8"/>
  <c r="AL5" i="8"/>
  <c r="AL4" i="8"/>
  <c r="AL3" i="8"/>
  <c r="AL7" i="8" s="1"/>
  <c r="Z5" i="8"/>
  <c r="Z4" i="8"/>
  <c r="Z3" i="8"/>
  <c r="Z7" i="8" s="1"/>
  <c r="N5" i="8"/>
  <c r="N4" i="8"/>
  <c r="N3" i="8"/>
  <c r="N7" i="8" s="1"/>
  <c r="D19" i="8"/>
  <c r="D18" i="8"/>
  <c r="T2" i="6"/>
  <c r="H6" i="6"/>
  <c r="O9" i="6"/>
  <c r="BK30" i="19"/>
  <c r="BK29" i="19"/>
  <c r="BK28" i="19"/>
  <c r="BK27" i="19"/>
  <c r="BK26" i="19"/>
  <c r="BK25" i="19"/>
  <c r="BK24" i="19"/>
  <c r="BK23" i="19"/>
  <c r="BK22" i="19"/>
  <c r="BK21" i="19"/>
  <c r="BK20" i="19"/>
  <c r="BK19" i="19"/>
  <c r="BK18" i="19"/>
  <c r="BK17" i="19"/>
  <c r="BK16" i="19"/>
  <c r="BK15" i="19"/>
  <c r="BK14" i="19"/>
  <c r="BK13" i="19"/>
  <c r="BK12" i="19"/>
  <c r="BK11" i="19"/>
  <c r="BK10" i="19"/>
  <c r="BK9" i="19"/>
  <c r="AW30" i="19"/>
  <c r="AW29" i="19"/>
  <c r="AW28" i="19"/>
  <c r="AW27" i="19"/>
  <c r="AW26" i="19"/>
  <c r="AW25" i="19"/>
  <c r="AW24" i="19"/>
  <c r="AW23" i="19"/>
  <c r="AW22" i="19"/>
  <c r="AW21" i="19"/>
  <c r="AW20" i="19"/>
  <c r="AW19" i="19"/>
  <c r="AW18" i="19"/>
  <c r="AW17" i="19"/>
  <c r="AW16" i="19"/>
  <c r="AW15" i="19"/>
  <c r="AW14" i="19"/>
  <c r="AW13" i="19"/>
  <c r="AW12" i="19"/>
  <c r="AW11" i="19"/>
  <c r="AW10" i="19"/>
  <c r="AW9" i="19"/>
  <c r="AI30" i="19"/>
  <c r="AI29" i="19"/>
  <c r="AI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U30" i="19"/>
  <c r="U29" i="19"/>
  <c r="U28" i="19"/>
  <c r="U27" i="19"/>
  <c r="U26" i="19"/>
  <c r="U25" i="19"/>
  <c r="U24" i="19"/>
  <c r="U23" i="19"/>
  <c r="U22" i="19"/>
  <c r="U21" i="19"/>
  <c r="U20" i="19"/>
  <c r="U19" i="19"/>
  <c r="U18" i="19"/>
  <c r="U17" i="19"/>
  <c r="U16" i="19"/>
  <c r="U15" i="19"/>
  <c r="U14" i="19"/>
  <c r="U13" i="19"/>
  <c r="U12" i="19"/>
  <c r="U11" i="19"/>
  <c r="U10" i="19"/>
  <c r="U9" i="19"/>
  <c r="I27" i="6"/>
  <c r="U27" i="6"/>
  <c r="AG27" i="6"/>
  <c r="AS27" i="6"/>
  <c r="BE27" i="6"/>
  <c r="T6" i="6" l="1"/>
  <c r="R5" i="8" s="1"/>
  <c r="F5" i="8"/>
  <c r="AX8" i="8"/>
  <c r="AL8" i="8"/>
  <c r="Z8" i="8"/>
  <c r="N8" i="8"/>
  <c r="C5" i="6"/>
  <c r="G30" i="19"/>
  <c r="G29" i="19"/>
  <c r="G28" i="19"/>
  <c r="G27" i="19"/>
  <c r="G26" i="19"/>
  <c r="G25" i="19"/>
  <c r="G24" i="19"/>
  <c r="G23" i="19"/>
  <c r="G22" i="19"/>
  <c r="G21" i="19"/>
  <c r="G20" i="19"/>
  <c r="G19" i="19"/>
  <c r="G18" i="19"/>
  <c r="G17" i="19"/>
  <c r="G16" i="19"/>
  <c r="G15" i="19"/>
  <c r="G14" i="19"/>
  <c r="G13" i="19"/>
  <c r="G12" i="19"/>
  <c r="G11" i="19"/>
  <c r="G10" i="19"/>
  <c r="G9" i="19"/>
  <c r="J31" i="3" l="1"/>
  <c r="AZ12" i="10"/>
  <c r="AZ11" i="10"/>
  <c r="AZ10" i="10"/>
  <c r="AN12" i="10"/>
  <c r="AN11" i="10"/>
  <c r="AN10" i="10"/>
  <c r="AB12" i="10"/>
  <c r="AB11" i="10"/>
  <c r="AB10" i="10"/>
  <c r="P12" i="10"/>
  <c r="P11" i="10"/>
  <c r="P10" i="10"/>
  <c r="D10" i="10"/>
  <c r="D12" i="10"/>
  <c r="O5" i="6"/>
  <c r="N6" i="8" s="1"/>
  <c r="G31" i="6"/>
  <c r="BF22" i="6"/>
  <c r="BE22" i="6"/>
  <c r="BD22" i="6"/>
  <c r="AT22" i="6"/>
  <c r="AS22" i="6"/>
  <c r="AR22" i="6"/>
  <c r="AH22" i="6"/>
  <c r="AG22" i="6"/>
  <c r="AF22" i="6"/>
  <c r="V22" i="6"/>
  <c r="U22" i="6"/>
  <c r="T22" i="6"/>
  <c r="BF30" i="6"/>
  <c r="BE30" i="6"/>
  <c r="BD30" i="6"/>
  <c r="AT30" i="6"/>
  <c r="AS30" i="6"/>
  <c r="AR30" i="6"/>
  <c r="AH30" i="6"/>
  <c r="AG30" i="6"/>
  <c r="AF30" i="6"/>
  <c r="V30" i="6"/>
  <c r="U30" i="6"/>
  <c r="T30" i="6"/>
  <c r="E67" i="6"/>
  <c r="E65" i="6"/>
  <c r="M29" i="8" l="1"/>
  <c r="M27" i="8"/>
  <c r="M41" i="8"/>
  <c r="M32" i="8"/>
  <c r="M28" i="8"/>
  <c r="M38" i="8"/>
  <c r="M37" i="8"/>
  <c r="M35" i="8"/>
  <c r="M25" i="8"/>
  <c r="M40" i="8"/>
  <c r="M31" i="8"/>
  <c r="M26" i="8"/>
  <c r="R26" i="8" s="1"/>
  <c r="M36" i="8"/>
  <c r="M42" i="8"/>
  <c r="P16" i="8"/>
  <c r="M39" i="8"/>
  <c r="M34" i="8"/>
  <c r="M30" i="8"/>
  <c r="O23" i="8"/>
  <c r="M33" i="8"/>
  <c r="AA5" i="6"/>
  <c r="Z6" i="8" s="1"/>
  <c r="N6" i="10"/>
  <c r="J30" i="6"/>
  <c r="I30" i="6"/>
  <c r="H30" i="6"/>
  <c r="H4" i="6"/>
  <c r="T4" i="6" s="1"/>
  <c r="R3" i="8" s="1"/>
  <c r="O14" i="8" s="1"/>
  <c r="H8" i="6"/>
  <c r="T8" i="6" s="1"/>
  <c r="R7" i="8" s="1"/>
  <c r="H7" i="6"/>
  <c r="T7" i="6" s="1"/>
  <c r="R6" i="8" s="1"/>
  <c r="H5" i="6"/>
  <c r="T5" i="6" s="1"/>
  <c r="R4" i="8" s="1"/>
  <c r="Q19" i="8" s="1"/>
  <c r="N21" i="7"/>
  <c r="S31" i="6"/>
  <c r="Q16" i="8" l="1"/>
  <c r="Q15" i="8" s="1"/>
  <c r="R38" i="8"/>
  <c r="S37" i="8"/>
  <c r="R39" i="8"/>
  <c r="S38" i="8"/>
  <c r="S34" i="8"/>
  <c r="R35" i="8"/>
  <c r="S36" i="8"/>
  <c r="R37" i="8"/>
  <c r="R36" i="8"/>
  <c r="S35" i="8"/>
  <c r="S31" i="8"/>
  <c r="R32" i="8"/>
  <c r="R41" i="8"/>
  <c r="T41" i="8" s="1"/>
  <c r="S40" i="8"/>
  <c r="S41" i="8"/>
  <c r="R42" i="8"/>
  <c r="T42" i="8" s="1"/>
  <c r="R27" i="8"/>
  <c r="S26" i="8"/>
  <c r="R28" i="8"/>
  <c r="S27" i="8"/>
  <c r="S32" i="8"/>
  <c r="T32" i="8" s="1"/>
  <c r="R33" i="8"/>
  <c r="R31" i="8"/>
  <c r="T31" i="8" s="1"/>
  <c r="S30" i="8"/>
  <c r="S29" i="8"/>
  <c r="R30" i="8"/>
  <c r="S39" i="8"/>
  <c r="R40" i="8"/>
  <c r="R34" i="8"/>
  <c r="S33" i="8"/>
  <c r="R29" i="8"/>
  <c r="S28" i="8"/>
  <c r="Z6" i="10"/>
  <c r="Y38" i="8"/>
  <c r="Y30" i="8"/>
  <c r="Y29" i="8"/>
  <c r="AB16" i="8"/>
  <c r="Y33" i="8"/>
  <c r="Y40" i="8"/>
  <c r="Y35" i="8"/>
  <c r="Y32" i="8"/>
  <c r="Y27" i="8"/>
  <c r="Y39" i="8"/>
  <c r="Y31" i="8"/>
  <c r="Y36" i="8"/>
  <c r="Y37" i="8"/>
  <c r="Y25" i="8"/>
  <c r="Y34" i="8"/>
  <c r="Y26" i="8"/>
  <c r="AD26" i="8" s="1"/>
  <c r="Y42" i="8"/>
  <c r="AA23" i="8"/>
  <c r="Y41" i="8"/>
  <c r="Y28" i="8"/>
  <c r="T26" i="8"/>
  <c r="C23" i="8"/>
  <c r="A26" i="8"/>
  <c r="F26" i="8" s="1"/>
  <c r="A34" i="8"/>
  <c r="A42" i="8"/>
  <c r="A38" i="8"/>
  <c r="A27" i="8"/>
  <c r="A35" i="8"/>
  <c r="A33" i="8"/>
  <c r="A28" i="8"/>
  <c r="A36" i="8"/>
  <c r="A30" i="8"/>
  <c r="A41" i="8"/>
  <c r="A29" i="8"/>
  <c r="A37" i="8"/>
  <c r="A31" i="8"/>
  <c r="A39" i="8"/>
  <c r="A32" i="8"/>
  <c r="A40" i="8"/>
  <c r="T40" i="8"/>
  <c r="Q18" i="8"/>
  <c r="Q17" i="8" s="1"/>
  <c r="AM5" i="6"/>
  <c r="AL6" i="8" s="1"/>
  <c r="AA9" i="6"/>
  <c r="AE31" i="6" s="1"/>
  <c r="AY14" i="12"/>
  <c r="AM14" i="12"/>
  <c r="AA14" i="12"/>
  <c r="AY19" i="12"/>
  <c r="AM19" i="12"/>
  <c r="AA19" i="12"/>
  <c r="F31" i="8" l="1"/>
  <c r="G30" i="8"/>
  <c r="AE35" i="8"/>
  <c r="AD36" i="8"/>
  <c r="F37" i="8"/>
  <c r="H37" i="8" s="1"/>
  <c r="G36" i="8"/>
  <c r="F29" i="8"/>
  <c r="G28" i="8"/>
  <c r="G37" i="8"/>
  <c r="F38" i="8"/>
  <c r="AE38" i="8"/>
  <c r="AD39" i="8"/>
  <c r="AE29" i="8"/>
  <c r="AD30" i="8"/>
  <c r="AE30" i="8"/>
  <c r="AF30" i="8" s="1"/>
  <c r="AD31" i="8"/>
  <c r="F41" i="8"/>
  <c r="G40" i="8"/>
  <c r="F30" i="8"/>
  <c r="H30" i="8" s="1"/>
  <c r="G29" i="8"/>
  <c r="G33" i="8"/>
  <c r="H33" i="8" s="1"/>
  <c r="F34" i="8"/>
  <c r="H34" i="8" s="1"/>
  <c r="AD32" i="8"/>
  <c r="AE31" i="8"/>
  <c r="G34" i="8"/>
  <c r="F35" i="8"/>
  <c r="G26" i="8"/>
  <c r="F27" i="8"/>
  <c r="AE26" i="8"/>
  <c r="AF26" i="8" s="1"/>
  <c r="AD27" i="8"/>
  <c r="AE33" i="8"/>
  <c r="AD34" i="8"/>
  <c r="AD35" i="8"/>
  <c r="AE34" i="8"/>
  <c r="AD29" i="8"/>
  <c r="AE28" i="8"/>
  <c r="AD42" i="8"/>
  <c r="AE41" i="8"/>
  <c r="F36" i="8"/>
  <c r="H36" i="8" s="1"/>
  <c r="G35" i="8"/>
  <c r="G31" i="8"/>
  <c r="F32" i="8"/>
  <c r="F28" i="8"/>
  <c r="G27" i="8"/>
  <c r="AD40" i="8"/>
  <c r="AE39" i="8"/>
  <c r="AE27" i="8"/>
  <c r="AF27" i="8" s="1"/>
  <c r="AD28" i="8"/>
  <c r="AD41" i="8"/>
  <c r="AE40" i="8"/>
  <c r="G41" i="8"/>
  <c r="H41" i="8" s="1"/>
  <c r="F42" i="8"/>
  <c r="H42" i="8" s="1"/>
  <c r="AD38" i="8"/>
  <c r="AE37" i="8"/>
  <c r="F40" i="8"/>
  <c r="H40" i="8" s="1"/>
  <c r="G39" i="8"/>
  <c r="G38" i="8"/>
  <c r="F39" i="8"/>
  <c r="G32" i="8"/>
  <c r="F33" i="8"/>
  <c r="AE36" i="8"/>
  <c r="AD37" i="8"/>
  <c r="AD33" i="8"/>
  <c r="AE32" i="8"/>
  <c r="T39" i="8"/>
  <c r="V39" i="8" s="1"/>
  <c r="T29" i="8"/>
  <c r="V29" i="8" s="1"/>
  <c r="T27" i="8"/>
  <c r="V27" i="8" s="1"/>
  <c r="U26" i="8"/>
  <c r="V26" i="8"/>
  <c r="U31" i="8"/>
  <c r="V31" i="8"/>
  <c r="U32" i="8"/>
  <c r="V32" i="8"/>
  <c r="T34" i="8"/>
  <c r="T28" i="8"/>
  <c r="U40" i="8"/>
  <c r="V40" i="8"/>
  <c r="T37" i="8"/>
  <c r="AF42" i="8"/>
  <c r="T38" i="8"/>
  <c r="U27" i="8"/>
  <c r="U41" i="8"/>
  <c r="V41" i="8"/>
  <c r="V42" i="8"/>
  <c r="U42" i="8"/>
  <c r="T33" i="8"/>
  <c r="AK40" i="8"/>
  <c r="AK35" i="8"/>
  <c r="AK31" i="8"/>
  <c r="AK26" i="8"/>
  <c r="AP26" i="8" s="1"/>
  <c r="AK32" i="8"/>
  <c r="AK29" i="8"/>
  <c r="AK37" i="8"/>
  <c r="AK25" i="8"/>
  <c r="AN16" i="8"/>
  <c r="AK39" i="8"/>
  <c r="AK34" i="8"/>
  <c r="AK42" i="8"/>
  <c r="AK30" i="8"/>
  <c r="AK28" i="8"/>
  <c r="AM23" i="8"/>
  <c r="AK33" i="8"/>
  <c r="AK38" i="8"/>
  <c r="AK36" i="8"/>
  <c r="AK41" i="8"/>
  <c r="AK27" i="8"/>
  <c r="T35" i="8"/>
  <c r="T30" i="8"/>
  <c r="T36" i="8"/>
  <c r="AY5" i="6"/>
  <c r="AX6" i="8" s="1"/>
  <c r="AL6" i="10"/>
  <c r="AA16" i="12"/>
  <c r="E21" i="3"/>
  <c r="E19" i="3"/>
  <c r="O16" i="12"/>
  <c r="C16" i="12"/>
  <c r="O14" i="12"/>
  <c r="C14" i="12"/>
  <c r="AX25" i="7"/>
  <c r="AX21" i="7"/>
  <c r="AL25" i="7"/>
  <c r="AL21" i="7"/>
  <c r="Z25" i="7"/>
  <c r="Z21" i="7"/>
  <c r="N25" i="7"/>
  <c r="C77" i="1"/>
  <c r="H3" i="6"/>
  <c r="T3" i="6" s="1"/>
  <c r="C7" i="6"/>
  <c r="O7" i="6" s="1"/>
  <c r="AA7" i="6" s="1"/>
  <c r="AM7" i="6" s="1"/>
  <c r="AY7" i="6" s="1"/>
  <c r="C6" i="6"/>
  <c r="D11" i="10"/>
  <c r="H2" i="6"/>
  <c r="C21" i="12" s="1"/>
  <c r="C4" i="6"/>
  <c r="D4" i="5" s="1"/>
  <c r="C3" i="6"/>
  <c r="C2" i="6"/>
  <c r="D2" i="5" s="1"/>
  <c r="AP41" i="8" l="1"/>
  <c r="AQ40" i="8"/>
  <c r="AP34" i="8"/>
  <c r="AQ33" i="8"/>
  <c r="AQ30" i="8"/>
  <c r="AP31" i="8"/>
  <c r="U29" i="8"/>
  <c r="AQ31" i="8"/>
  <c r="AP32" i="8"/>
  <c r="AP39" i="8"/>
  <c r="AQ38" i="8"/>
  <c r="AQ37" i="8"/>
  <c r="AP38" i="8"/>
  <c r="AQ39" i="8"/>
  <c r="AP40" i="8"/>
  <c r="H27" i="8"/>
  <c r="I27" i="8" s="1"/>
  <c r="H29" i="8"/>
  <c r="AP35" i="8"/>
  <c r="AQ34" i="8"/>
  <c r="AP33" i="8"/>
  <c r="AQ32" i="8"/>
  <c r="H28" i="8"/>
  <c r="AQ29" i="8"/>
  <c r="AP30" i="8"/>
  <c r="AP27" i="8"/>
  <c r="AQ26" i="8"/>
  <c r="AP42" i="8"/>
  <c r="AQ41" i="8"/>
  <c r="AP36" i="8"/>
  <c r="AQ35" i="8"/>
  <c r="AP37" i="8"/>
  <c r="AQ36" i="8"/>
  <c r="H39" i="8"/>
  <c r="H32" i="8"/>
  <c r="H35" i="8"/>
  <c r="H38" i="8"/>
  <c r="AP28" i="8"/>
  <c r="AQ27" i="8"/>
  <c r="AQ28" i="8"/>
  <c r="AP29" i="8"/>
  <c r="H31" i="8"/>
  <c r="U39" i="8"/>
  <c r="AF38" i="8"/>
  <c r="I31" i="8"/>
  <c r="AF33" i="8"/>
  <c r="AG33" i="8" s="1"/>
  <c r="AF36" i="8"/>
  <c r="AH36" i="8" s="1"/>
  <c r="AF34" i="8"/>
  <c r="AG34" i="8" s="1"/>
  <c r="AF35" i="8"/>
  <c r="AG35" i="8" s="1"/>
  <c r="AG26" i="8"/>
  <c r="AH26" i="8"/>
  <c r="V33" i="8"/>
  <c r="U33" i="8"/>
  <c r="AH38" i="8"/>
  <c r="AG38" i="8"/>
  <c r="J31" i="8"/>
  <c r="V28" i="8"/>
  <c r="U28" i="8"/>
  <c r="AF28" i="8"/>
  <c r="AW39" i="8"/>
  <c r="AW25" i="8"/>
  <c r="AW33" i="8"/>
  <c r="AW41" i="8"/>
  <c r="AW32" i="8"/>
  <c r="AW26" i="8"/>
  <c r="BB26" i="8" s="1"/>
  <c r="AZ16" i="8"/>
  <c r="AW34" i="8"/>
  <c r="AW42" i="8"/>
  <c r="AW30" i="8"/>
  <c r="AW28" i="8"/>
  <c r="AW27" i="8"/>
  <c r="AY23" i="8"/>
  <c r="AW38" i="8"/>
  <c r="AW36" i="8"/>
  <c r="AW37" i="8"/>
  <c r="AW35" i="8"/>
  <c r="AW40" i="8"/>
  <c r="AW29" i="8"/>
  <c r="AW31" i="8"/>
  <c r="AH30" i="8"/>
  <c r="AG30" i="8"/>
  <c r="AR42" i="8"/>
  <c r="AF32" i="8"/>
  <c r="AF29" i="8"/>
  <c r="J39" i="8"/>
  <c r="I39" i="8"/>
  <c r="V36" i="8"/>
  <c r="U36" i="8"/>
  <c r="I42" i="8"/>
  <c r="J42" i="8"/>
  <c r="J34" i="8"/>
  <c r="I34" i="8"/>
  <c r="AG42" i="8"/>
  <c r="AH42" i="8"/>
  <c r="U34" i="8"/>
  <c r="V34" i="8"/>
  <c r="AR26" i="8"/>
  <c r="AF31" i="8"/>
  <c r="V30" i="8"/>
  <c r="U30" i="8"/>
  <c r="V38" i="8"/>
  <c r="U38" i="8"/>
  <c r="V35" i="8"/>
  <c r="U35" i="8"/>
  <c r="AF40" i="8"/>
  <c r="AG27" i="8"/>
  <c r="AH27" i="8"/>
  <c r="V37" i="8"/>
  <c r="U37" i="8"/>
  <c r="I29" i="8"/>
  <c r="J29" i="8"/>
  <c r="AF37" i="8"/>
  <c r="AF39" i="8"/>
  <c r="AF41" i="8"/>
  <c r="AX6" i="10"/>
  <c r="N7" i="10"/>
  <c r="O3" i="6"/>
  <c r="N4" i="10" s="1"/>
  <c r="D3" i="5"/>
  <c r="D6" i="5" s="1"/>
  <c r="AA30" i="12"/>
  <c r="AA42" i="12" s="1"/>
  <c r="AA33" i="12" s="1"/>
  <c r="D5" i="5"/>
  <c r="F7" i="8"/>
  <c r="C18" i="12"/>
  <c r="F3" i="8"/>
  <c r="C14" i="8" s="1"/>
  <c r="B8" i="7"/>
  <c r="O4" i="6"/>
  <c r="N5" i="10" s="1"/>
  <c r="O6" i="6"/>
  <c r="AA6" i="6" s="1"/>
  <c r="AA29" i="12" s="1"/>
  <c r="F4" i="8"/>
  <c r="E19" i="8" s="1"/>
  <c r="B12" i="7"/>
  <c r="AF2" i="6"/>
  <c r="AA21" i="12" s="1"/>
  <c r="C17" i="12"/>
  <c r="O2" i="6"/>
  <c r="N3" i="10" s="1"/>
  <c r="C12" i="7"/>
  <c r="AF3" i="6"/>
  <c r="AA22" i="12" s="1"/>
  <c r="F6" i="8"/>
  <c r="O21" i="12"/>
  <c r="B3" i="10"/>
  <c r="B3" i="9"/>
  <c r="B4" i="9"/>
  <c r="C28" i="12"/>
  <c r="O28" i="12"/>
  <c r="D8" i="5"/>
  <c r="B4" i="10"/>
  <c r="E8" i="5"/>
  <c r="B6" i="10"/>
  <c r="C29" i="12"/>
  <c r="B7" i="10"/>
  <c r="C20" i="12"/>
  <c r="B5" i="9"/>
  <c r="B5" i="10"/>
  <c r="C30" i="12"/>
  <c r="C42" i="12" s="1"/>
  <c r="C33" i="12" s="1"/>
  <c r="B6" i="9"/>
  <c r="C22" i="12"/>
  <c r="C24" i="12"/>
  <c r="C27" i="12"/>
  <c r="C26" i="12"/>
  <c r="C23" i="12"/>
  <c r="AM9" i="6"/>
  <c r="AQ31" i="6" s="1"/>
  <c r="C25" i="12"/>
  <c r="B3" i="8"/>
  <c r="B4" i="8"/>
  <c r="B9" i="7"/>
  <c r="E21" i="7" s="1"/>
  <c r="B7" i="7"/>
  <c r="B6" i="7"/>
  <c r="B5" i="8"/>
  <c r="BB38" i="8" l="1"/>
  <c r="BC37" i="8"/>
  <c r="BC31" i="8"/>
  <c r="BB32" i="8"/>
  <c r="BB31" i="8"/>
  <c r="BD31" i="8" s="1"/>
  <c r="BC30" i="8"/>
  <c r="BC26" i="8"/>
  <c r="BB27" i="8"/>
  <c r="BC40" i="8"/>
  <c r="BB41" i="8"/>
  <c r="BC28" i="8"/>
  <c r="BB29" i="8"/>
  <c r="BC27" i="8"/>
  <c r="BB28" i="8"/>
  <c r="AH33" i="8"/>
  <c r="BB40" i="8"/>
  <c r="BC39" i="8"/>
  <c r="BB30" i="8"/>
  <c r="BC29" i="8"/>
  <c r="BC32" i="8"/>
  <c r="BB33" i="8"/>
  <c r="BC34" i="8"/>
  <c r="BB35" i="8"/>
  <c r="BB42" i="8"/>
  <c r="BD42" i="8" s="1"/>
  <c r="BC41" i="8"/>
  <c r="BC38" i="8"/>
  <c r="BB39" i="8"/>
  <c r="J27" i="8"/>
  <c r="BB37" i="8"/>
  <c r="BC36" i="8"/>
  <c r="BB34" i="8"/>
  <c r="BC33" i="8"/>
  <c r="BB36" i="8"/>
  <c r="BC35" i="8"/>
  <c r="AH34" i="8"/>
  <c r="U24" i="8"/>
  <c r="N22" i="8" s="1"/>
  <c r="V24" i="8"/>
  <c r="O22" i="8" s="1"/>
  <c r="AG36" i="8"/>
  <c r="AR33" i="8"/>
  <c r="AS33" i="8" s="1"/>
  <c r="AH35" i="8"/>
  <c r="AR36" i="8"/>
  <c r="AS36" i="8" s="1"/>
  <c r="AR30" i="8"/>
  <c r="AT30" i="8" s="1"/>
  <c r="AR29" i="8"/>
  <c r="AT29" i="8" s="1"/>
  <c r="AR41" i="8"/>
  <c r="AT41" i="8" s="1"/>
  <c r="AR32" i="8"/>
  <c r="AT32" i="8" s="1"/>
  <c r="AR27" i="8"/>
  <c r="AT27" i="8" s="1"/>
  <c r="AH40" i="8"/>
  <c r="AG40" i="8"/>
  <c r="J40" i="8"/>
  <c r="I40" i="8"/>
  <c r="I36" i="8"/>
  <c r="J36" i="8"/>
  <c r="AH41" i="8"/>
  <c r="AG41" i="8"/>
  <c r="J41" i="8"/>
  <c r="I41" i="8"/>
  <c r="AH31" i="8"/>
  <c r="AG31" i="8"/>
  <c r="AT26" i="8"/>
  <c r="AS26" i="8"/>
  <c r="AR39" i="8"/>
  <c r="AG29" i="8"/>
  <c r="AH29" i="8"/>
  <c r="J32" i="8"/>
  <c r="I32" i="8"/>
  <c r="I38" i="8"/>
  <c r="J38" i="8"/>
  <c r="AG32" i="8"/>
  <c r="AH32" i="8"/>
  <c r="AG37" i="8"/>
  <c r="AH37" i="8"/>
  <c r="AR40" i="8"/>
  <c r="I28" i="8"/>
  <c r="J28" i="8"/>
  <c r="AR37" i="8"/>
  <c r="AR31" i="8"/>
  <c r="AR28" i="8"/>
  <c r="I35" i="8"/>
  <c r="J35" i="8"/>
  <c r="AG39" i="8"/>
  <c r="AH39" i="8"/>
  <c r="AT42" i="8"/>
  <c r="AS42" i="8"/>
  <c r="AG28" i="8"/>
  <c r="AH28" i="8"/>
  <c r="I37" i="8"/>
  <c r="J37" i="8"/>
  <c r="AR38" i="8"/>
  <c r="I30" i="8"/>
  <c r="J30" i="8"/>
  <c r="AR35" i="8"/>
  <c r="AR34" i="8"/>
  <c r="BD26" i="8"/>
  <c r="I33" i="8"/>
  <c r="J33" i="8"/>
  <c r="E18" i="8"/>
  <c r="E14" i="10"/>
  <c r="E13" i="10"/>
  <c r="E12" i="10"/>
  <c r="E11" i="10"/>
  <c r="Q13" i="10"/>
  <c r="Q14" i="10"/>
  <c r="Q12" i="10"/>
  <c r="Q11" i="10"/>
  <c r="AC10" i="10"/>
  <c r="BA10" i="10"/>
  <c r="AO10" i="10"/>
  <c r="Q10" i="10"/>
  <c r="AA28" i="12"/>
  <c r="Z7" i="10"/>
  <c r="E10" i="10"/>
  <c r="AA4" i="6"/>
  <c r="AA2" i="6"/>
  <c r="Z3" i="10" s="1"/>
  <c r="AF6" i="6"/>
  <c r="AD5" i="8" s="1"/>
  <c r="B7" i="8"/>
  <c r="AA3" i="6"/>
  <c r="AF8" i="6"/>
  <c r="AD7" i="8" s="1"/>
  <c r="AF5" i="6"/>
  <c r="AD4" i="8" s="1"/>
  <c r="AC19" i="8" s="1"/>
  <c r="AF7" i="6"/>
  <c r="AD6" i="8" s="1"/>
  <c r="AF4" i="6"/>
  <c r="AD3" i="8" s="1"/>
  <c r="AA14" i="8" s="1"/>
  <c r="AM9" i="9"/>
  <c r="AM10" i="9" s="1"/>
  <c r="AC9" i="9"/>
  <c r="AC10" i="9" s="1"/>
  <c r="AB9" i="9"/>
  <c r="AB10" i="9" s="1"/>
  <c r="BA9" i="9"/>
  <c r="BA10" i="9" s="1"/>
  <c r="AA9" i="9"/>
  <c r="AA10" i="9" s="1"/>
  <c r="AZ9" i="9"/>
  <c r="AZ10" i="9" s="1"/>
  <c r="Q9" i="9"/>
  <c r="Q10" i="9" s="1"/>
  <c r="AY9" i="9"/>
  <c r="AY10" i="9" s="1"/>
  <c r="P9" i="9"/>
  <c r="P10" i="9" s="1"/>
  <c r="AO9" i="9"/>
  <c r="AO10" i="9" s="1"/>
  <c r="O9" i="9"/>
  <c r="O10" i="9" s="1"/>
  <c r="AN9" i="9"/>
  <c r="AN10" i="9" s="1"/>
  <c r="AM16" i="12"/>
  <c r="N4" i="9"/>
  <c r="D9" i="9"/>
  <c r="D10" i="9" s="1"/>
  <c r="D14" i="6" s="1"/>
  <c r="C9" i="9"/>
  <c r="C10" i="9" s="1"/>
  <c r="C14" i="6" s="1"/>
  <c r="H14" i="6" s="1"/>
  <c r="E9" i="9"/>
  <c r="E10" i="9" s="1"/>
  <c r="E14" i="6" s="1"/>
  <c r="J14" i="6" s="1"/>
  <c r="E25" i="7"/>
  <c r="D25" i="7"/>
  <c r="C25" i="7"/>
  <c r="P4" i="5"/>
  <c r="O57" i="5" s="1"/>
  <c r="B4" i="7"/>
  <c r="P3" i="5"/>
  <c r="O18" i="12"/>
  <c r="O17" i="12"/>
  <c r="N3" i="9"/>
  <c r="D16" i="8"/>
  <c r="E16" i="8" s="1"/>
  <c r="AY9" i="6"/>
  <c r="BC31" i="6" s="1"/>
  <c r="C21" i="7"/>
  <c r="P2" i="5"/>
  <c r="N6" i="7"/>
  <c r="N12" i="7"/>
  <c r="P8" i="5"/>
  <c r="B10" i="7"/>
  <c r="B11" i="7" s="1"/>
  <c r="O29" i="12"/>
  <c r="D21" i="7"/>
  <c r="AA20" i="12"/>
  <c r="O20" i="12"/>
  <c r="N5" i="9"/>
  <c r="Z9" i="7"/>
  <c r="N6" i="9"/>
  <c r="O30" i="12"/>
  <c r="O42" i="12" s="1"/>
  <c r="O33" i="12" s="1"/>
  <c r="O22" i="12"/>
  <c r="O12" i="7"/>
  <c r="Q8" i="5"/>
  <c r="O25" i="12"/>
  <c r="O24" i="12"/>
  <c r="O27" i="12"/>
  <c r="O26" i="12"/>
  <c r="O23" i="12"/>
  <c r="N9" i="7"/>
  <c r="P5" i="5"/>
  <c r="A25" i="8"/>
  <c r="N8" i="7"/>
  <c r="N7" i="7"/>
  <c r="E3" i="5"/>
  <c r="E2" i="5"/>
  <c r="F20" i="1"/>
  <c r="AC16" i="8" l="1"/>
  <c r="AC15" i="8" s="1"/>
  <c r="AT33" i="8"/>
  <c r="P22" i="8"/>
  <c r="Q22" i="8" s="1"/>
  <c r="P23" i="8" s="1"/>
  <c r="Q23" i="8" s="1"/>
  <c r="Q21" i="8" s="1"/>
  <c r="AS41" i="8"/>
  <c r="AT36" i="8"/>
  <c r="AG24" i="8"/>
  <c r="AS30" i="8"/>
  <c r="BD41" i="8"/>
  <c r="BF41" i="8" s="1"/>
  <c r="AH24" i="8"/>
  <c r="AA22" i="8" s="1"/>
  <c r="AS29" i="8"/>
  <c r="BD27" i="8"/>
  <c r="BE27" i="8" s="1"/>
  <c r="BD38" i="8"/>
  <c r="BF38" i="8" s="1"/>
  <c r="AS32" i="8"/>
  <c r="AS27" i="8"/>
  <c r="BD32" i="8"/>
  <c r="BF32" i="8" s="1"/>
  <c r="BD34" i="8"/>
  <c r="BF34" i="8" s="1"/>
  <c r="BD39" i="8"/>
  <c r="BE39" i="8" s="1"/>
  <c r="Z22" i="8"/>
  <c r="BD33" i="8"/>
  <c r="BF33" i="8" s="1"/>
  <c r="BD30" i="8"/>
  <c r="BF30" i="8" s="1"/>
  <c r="BE42" i="8"/>
  <c r="BF42" i="8"/>
  <c r="AT39" i="8"/>
  <c r="AS39" i="8"/>
  <c r="AS28" i="8"/>
  <c r="AT28" i="8"/>
  <c r="BD36" i="8"/>
  <c r="BD28" i="8"/>
  <c r="BF26" i="8"/>
  <c r="BE26" i="8"/>
  <c r="AT40" i="8"/>
  <c r="AS40" i="8"/>
  <c r="BD40" i="8"/>
  <c r="AT35" i="8"/>
  <c r="AS35" i="8"/>
  <c r="BD29" i="8"/>
  <c r="AT38" i="8"/>
  <c r="AS38" i="8"/>
  <c r="BD35" i="8"/>
  <c r="BE31" i="8"/>
  <c r="BF31" i="8"/>
  <c r="AS31" i="8"/>
  <c r="AT31" i="8"/>
  <c r="AS34" i="8"/>
  <c r="AT34" i="8"/>
  <c r="AS37" i="8"/>
  <c r="AT37" i="8"/>
  <c r="BD37" i="8"/>
  <c r="AC18" i="8"/>
  <c r="AC17" i="8" s="1"/>
  <c r="Z3" i="9"/>
  <c r="AM2" i="6"/>
  <c r="AL3" i="10" s="1"/>
  <c r="AC14" i="10"/>
  <c r="AC13" i="10"/>
  <c r="AC12" i="10"/>
  <c r="AC11" i="10"/>
  <c r="Z4" i="9"/>
  <c r="Z4" i="10"/>
  <c r="AM3" i="6"/>
  <c r="AL4" i="10" s="1"/>
  <c r="N8" i="10"/>
  <c r="AM28" i="12"/>
  <c r="AL7" i="10"/>
  <c r="Z5" i="10"/>
  <c r="Z6" i="7"/>
  <c r="AC25" i="7" s="1"/>
  <c r="O25" i="5"/>
  <c r="O38" i="5"/>
  <c r="AB3" i="5"/>
  <c r="N32" i="5"/>
  <c r="Z7" i="7"/>
  <c r="AA25" i="12"/>
  <c r="AB2" i="5"/>
  <c r="N39" i="5"/>
  <c r="AM17" i="12"/>
  <c r="O55" i="5"/>
  <c r="N62" i="5"/>
  <c r="AA17" i="12"/>
  <c r="N19" i="5"/>
  <c r="AA18" i="12"/>
  <c r="O48" i="5"/>
  <c r="N54" i="5"/>
  <c r="N55" i="5"/>
  <c r="O24" i="5"/>
  <c r="AA27" i="12"/>
  <c r="AA24" i="12"/>
  <c r="AA26" i="12"/>
  <c r="AA23" i="12"/>
  <c r="O62" i="5"/>
  <c r="O30" i="5"/>
  <c r="N31" i="5"/>
  <c r="N35" i="5"/>
  <c r="N56" i="5"/>
  <c r="O32" i="5"/>
  <c r="O36" i="5"/>
  <c r="N57" i="5"/>
  <c r="P57" i="5" s="1"/>
  <c r="U57" i="5" s="1"/>
  <c r="N37" i="5"/>
  <c r="N41" i="5"/>
  <c r="O28" i="5"/>
  <c r="AY16" i="12"/>
  <c r="O33" i="5"/>
  <c r="N61" i="5"/>
  <c r="N40" i="5"/>
  <c r="N29" i="5"/>
  <c r="N63" i="5"/>
  <c r="O45" i="5"/>
  <c r="N24" i="5"/>
  <c r="O49" i="5"/>
  <c r="O41" i="5"/>
  <c r="N38" i="5"/>
  <c r="N21" i="5"/>
  <c r="N48" i="5"/>
  <c r="N25" i="5"/>
  <c r="N52" i="5"/>
  <c r="O47" i="5"/>
  <c r="O44" i="5"/>
  <c r="O17" i="5"/>
  <c r="O22" i="5"/>
  <c r="N49" i="5"/>
  <c r="O31" i="5"/>
  <c r="N58" i="5"/>
  <c r="O53" i="5"/>
  <c r="N45" i="5"/>
  <c r="O34" i="5"/>
  <c r="O54" i="5"/>
  <c r="O40" i="5"/>
  <c r="N22" i="5"/>
  <c r="O51" i="5"/>
  <c r="N23" i="5"/>
  <c r="N46" i="5"/>
  <c r="O29" i="5"/>
  <c r="N60" i="5"/>
  <c r="O46" i="5"/>
  <c r="O63" i="5"/>
  <c r="N20" i="5"/>
  <c r="N36" i="5"/>
  <c r="O50" i="5"/>
  <c r="O21" i="5"/>
  <c r="O37" i="5"/>
  <c r="N53" i="5"/>
  <c r="N28" i="5"/>
  <c r="N44" i="5"/>
  <c r="O58" i="5"/>
  <c r="N33" i="5"/>
  <c r="N50" i="5"/>
  <c r="N17" i="5"/>
  <c r="N26" i="5"/>
  <c r="O26" i="5"/>
  <c r="O59" i="5"/>
  <c r="O23" i="5"/>
  <c r="O56" i="5"/>
  <c r="N42" i="5"/>
  <c r="N59" i="5"/>
  <c r="O42" i="5"/>
  <c r="N34" i="5"/>
  <c r="N51" i="5"/>
  <c r="O39" i="5"/>
  <c r="O27" i="5"/>
  <c r="O43" i="5"/>
  <c r="O60" i="5"/>
  <c r="N30" i="5"/>
  <c r="N47" i="5"/>
  <c r="O61" i="5"/>
  <c r="O35" i="5"/>
  <c r="O52" i="5"/>
  <c r="N27" i="5"/>
  <c r="N43" i="5"/>
  <c r="P6" i="5"/>
  <c r="P7" i="5" s="1"/>
  <c r="E17" i="8"/>
  <c r="E24" i="7"/>
  <c r="E14" i="7" s="1"/>
  <c r="E11" i="6" s="1"/>
  <c r="D23" i="7"/>
  <c r="D14" i="7" s="1"/>
  <c r="D11" i="6" s="1"/>
  <c r="C22" i="7"/>
  <c r="C14" i="7" s="1"/>
  <c r="C11" i="6" s="1"/>
  <c r="O25" i="7"/>
  <c r="Q25" i="7"/>
  <c r="P25" i="7"/>
  <c r="AC21" i="7"/>
  <c r="AA21" i="7"/>
  <c r="AB21" i="7"/>
  <c r="Q21" i="7"/>
  <c r="P21" i="7"/>
  <c r="O21" i="7"/>
  <c r="N16" i="5"/>
  <c r="O19" i="5"/>
  <c r="O20" i="5"/>
  <c r="AB5" i="5"/>
  <c r="N15" i="5"/>
  <c r="N14" i="5"/>
  <c r="N18" i="5"/>
  <c r="B8" i="10"/>
  <c r="E15" i="6" s="1"/>
  <c r="J15" i="6" s="1"/>
  <c r="E15" i="8"/>
  <c r="B8" i="8"/>
  <c r="AM6" i="6"/>
  <c r="AM29" i="12" s="1"/>
  <c r="AL7" i="7"/>
  <c r="AR2" i="6"/>
  <c r="AM21" i="12" s="1"/>
  <c r="Z12" i="7"/>
  <c r="AB8" i="5"/>
  <c r="O15" i="5"/>
  <c r="O14" i="5"/>
  <c r="AY2" i="6"/>
  <c r="AX3" i="10" s="1"/>
  <c r="AL3" i="9"/>
  <c r="AN2" i="5"/>
  <c r="AL6" i="7"/>
  <c r="I14" i="6"/>
  <c r="O16" i="5"/>
  <c r="O18" i="5"/>
  <c r="C15" i="5"/>
  <c r="B18" i="5"/>
  <c r="B19" i="5"/>
  <c r="C20" i="5"/>
  <c r="B24" i="5"/>
  <c r="C25" i="5"/>
  <c r="B29" i="5"/>
  <c r="C30" i="5"/>
  <c r="C31" i="5"/>
  <c r="B34" i="5"/>
  <c r="B35" i="5"/>
  <c r="C36" i="5"/>
  <c r="B40" i="5"/>
  <c r="C41" i="5"/>
  <c r="B17" i="5"/>
  <c r="C18" i="5"/>
  <c r="C19" i="5"/>
  <c r="B22" i="5"/>
  <c r="B23" i="5"/>
  <c r="C24" i="5"/>
  <c r="B28" i="5"/>
  <c r="C29" i="5"/>
  <c r="B33" i="5"/>
  <c r="C34" i="5"/>
  <c r="C35" i="5"/>
  <c r="B38" i="5"/>
  <c r="B39" i="5"/>
  <c r="C40" i="5"/>
  <c r="B16" i="5"/>
  <c r="C17" i="5"/>
  <c r="B21" i="5"/>
  <c r="C22" i="5"/>
  <c r="C23" i="5"/>
  <c r="B26" i="5"/>
  <c r="B27" i="5"/>
  <c r="C28" i="5"/>
  <c r="B32" i="5"/>
  <c r="C33" i="5"/>
  <c r="B37" i="5"/>
  <c r="C38" i="5"/>
  <c r="C39" i="5"/>
  <c r="B42" i="5"/>
  <c r="B43" i="5"/>
  <c r="C44" i="5"/>
  <c r="B48" i="5"/>
  <c r="C49" i="5"/>
  <c r="B15" i="5"/>
  <c r="C16" i="5"/>
  <c r="B20" i="5"/>
  <c r="C21" i="5"/>
  <c r="B25" i="5"/>
  <c r="C26" i="5"/>
  <c r="C27" i="5"/>
  <c r="B30" i="5"/>
  <c r="B31" i="5"/>
  <c r="C32" i="5"/>
  <c r="B36" i="5"/>
  <c r="C37" i="5"/>
  <c r="B41" i="5"/>
  <c r="C42" i="5"/>
  <c r="C43" i="5"/>
  <c r="B46" i="5"/>
  <c r="B47" i="5"/>
  <c r="C48" i="5"/>
  <c r="B52" i="5"/>
  <c r="C53" i="5"/>
  <c r="B57" i="5"/>
  <c r="C58" i="5"/>
  <c r="C59" i="5"/>
  <c r="C45" i="5"/>
  <c r="B49" i="5"/>
  <c r="C52" i="5"/>
  <c r="B54" i="5"/>
  <c r="C55" i="5"/>
  <c r="B60" i="5"/>
  <c r="C61" i="5"/>
  <c r="B44" i="5"/>
  <c r="C47" i="5"/>
  <c r="B51" i="5"/>
  <c r="C54" i="5"/>
  <c r="C57" i="5"/>
  <c r="C60" i="5"/>
  <c r="C46" i="5"/>
  <c r="B50" i="5"/>
  <c r="C51" i="5"/>
  <c r="B53" i="5"/>
  <c r="B56" i="5"/>
  <c r="B62" i="5"/>
  <c r="B63" i="5"/>
  <c r="B45" i="5"/>
  <c r="C50" i="5"/>
  <c r="B55" i="5"/>
  <c r="C56" i="5"/>
  <c r="B58" i="5"/>
  <c r="B61" i="5"/>
  <c r="C62" i="5"/>
  <c r="C63" i="5"/>
  <c r="B59" i="5"/>
  <c r="P14" i="6"/>
  <c r="U14" i="6" s="1"/>
  <c r="Q14" i="6"/>
  <c r="V14" i="6" s="1"/>
  <c r="O14" i="6"/>
  <c r="T14" i="6" s="1"/>
  <c r="AM4" i="6"/>
  <c r="AL5" i="10" s="1"/>
  <c r="Z5" i="9"/>
  <c r="AB4" i="5"/>
  <c r="Z8" i="7"/>
  <c r="AM30" i="12"/>
  <c r="AM42" i="12" s="1"/>
  <c r="AM33" i="12" s="1"/>
  <c r="Z6" i="9"/>
  <c r="AR3" i="6"/>
  <c r="AM22" i="12" s="1"/>
  <c r="AA12" i="7"/>
  <c r="AC8" i="5"/>
  <c r="AR6" i="6"/>
  <c r="AP5" i="8" s="1"/>
  <c r="AR5" i="6"/>
  <c r="AP4" i="8" s="1"/>
  <c r="AO19" i="8" s="1"/>
  <c r="AR8" i="6"/>
  <c r="AP7" i="8" s="1"/>
  <c r="AR7" i="6"/>
  <c r="AP6" i="8" s="1"/>
  <c r="AR4" i="6"/>
  <c r="AP3" i="8" s="1"/>
  <c r="AM14" i="8" s="1"/>
  <c r="N4" i="7"/>
  <c r="N10" i="7"/>
  <c r="N11" i="7" s="1"/>
  <c r="C14" i="5"/>
  <c r="B14" i="5"/>
  <c r="G20" i="1"/>
  <c r="AO16" i="8" l="1"/>
  <c r="AO15" i="8" s="1"/>
  <c r="BE34" i="8"/>
  <c r="BE33" i="8"/>
  <c r="BE38" i="8"/>
  <c r="BE30" i="8"/>
  <c r="BE41" i="8"/>
  <c r="AB22" i="8"/>
  <c r="AC22" i="8" s="1"/>
  <c r="AB23" i="8" s="1"/>
  <c r="AC23" i="8" s="1"/>
  <c r="AC21" i="8" s="1"/>
  <c r="BF27" i="8"/>
  <c r="AT24" i="8"/>
  <c r="AM22" i="8" s="1"/>
  <c r="AS24" i="8"/>
  <c r="AL22" i="8" s="1"/>
  <c r="BF39" i="8"/>
  <c r="BE32" i="8"/>
  <c r="BF37" i="8"/>
  <c r="BE37" i="8"/>
  <c r="BF35" i="8"/>
  <c r="BE35" i="8"/>
  <c r="BF28" i="8"/>
  <c r="BE28" i="8"/>
  <c r="BE29" i="8"/>
  <c r="BF29" i="8"/>
  <c r="BE36" i="8"/>
  <c r="BF36" i="8"/>
  <c r="BE40" i="8"/>
  <c r="BF40" i="8"/>
  <c r="P43" i="5"/>
  <c r="U43" i="5" s="1"/>
  <c r="AO18" i="8"/>
  <c r="AO17" i="8" s="1"/>
  <c r="P31" i="5"/>
  <c r="U31" i="5" s="1"/>
  <c r="V31" i="5" s="1"/>
  <c r="W31" i="5" s="1"/>
  <c r="P50" i="5"/>
  <c r="U50" i="5" s="1"/>
  <c r="V50" i="5" s="1"/>
  <c r="W50" i="5" s="1"/>
  <c r="Z8" i="10"/>
  <c r="AO14" i="10"/>
  <c r="AO13" i="10"/>
  <c r="AO12" i="10"/>
  <c r="AO11" i="10"/>
  <c r="P25" i="5"/>
  <c r="U25" i="5" s="1"/>
  <c r="V25" i="5" s="1"/>
  <c r="W25" i="5" s="1"/>
  <c r="P39" i="5"/>
  <c r="U39" i="5" s="1"/>
  <c r="V39" i="5" s="1"/>
  <c r="W39" i="5" s="1"/>
  <c r="AN3" i="5"/>
  <c r="AY3" i="6"/>
  <c r="AX4" i="10" s="1"/>
  <c r="P28" i="5"/>
  <c r="R28" i="5" s="1"/>
  <c r="S28" i="5" s="1"/>
  <c r="P38" i="5"/>
  <c r="U38" i="5" s="1"/>
  <c r="V38" i="5" s="1"/>
  <c r="W38" i="5" s="1"/>
  <c r="AL4" i="9"/>
  <c r="AY28" i="12"/>
  <c r="AX7" i="10"/>
  <c r="P55" i="5"/>
  <c r="U55" i="5" s="1"/>
  <c r="V55" i="5" s="1"/>
  <c r="W55" i="5" s="1"/>
  <c r="AA25" i="7"/>
  <c r="AM18" i="12"/>
  <c r="P62" i="5"/>
  <c r="U62" i="5" s="1"/>
  <c r="V62" i="5" s="1"/>
  <c r="W62" i="5" s="1"/>
  <c r="AB25" i="7"/>
  <c r="P32" i="5"/>
  <c r="U32" i="5" s="1"/>
  <c r="V32" i="5" s="1"/>
  <c r="W32" i="5" s="1"/>
  <c r="Z10" i="7"/>
  <c r="AB6" i="5"/>
  <c r="AB7" i="5" s="1"/>
  <c r="Z4" i="7"/>
  <c r="P56" i="5"/>
  <c r="U56" i="5" s="1"/>
  <c r="V56" i="5" s="1"/>
  <c r="W56" i="5" s="1"/>
  <c r="P48" i="5"/>
  <c r="U48" i="5" s="1"/>
  <c r="V48" i="5" s="1"/>
  <c r="W48" i="5" s="1"/>
  <c r="P54" i="5"/>
  <c r="U54" i="5" s="1"/>
  <c r="V54" i="5" s="1"/>
  <c r="W54" i="5" s="1"/>
  <c r="AM25" i="12"/>
  <c r="AY17" i="12"/>
  <c r="P19" i="5"/>
  <c r="U19" i="5" s="1"/>
  <c r="V19" i="5" s="1"/>
  <c r="W19" i="5" s="1"/>
  <c r="AM20" i="12"/>
  <c r="P37" i="5"/>
  <c r="U37" i="5" s="1"/>
  <c r="V37" i="5" s="1"/>
  <c r="W37" i="5" s="1"/>
  <c r="P24" i="5"/>
  <c r="R24" i="5" s="1"/>
  <c r="S24" i="5" s="1"/>
  <c r="AM27" i="12"/>
  <c r="AM24" i="12"/>
  <c r="AM26" i="12"/>
  <c r="AM23" i="12"/>
  <c r="P35" i="5"/>
  <c r="U35" i="5" s="1"/>
  <c r="V35" i="5" s="1"/>
  <c r="W35" i="5" s="1"/>
  <c r="P30" i="5"/>
  <c r="U30" i="5" s="1"/>
  <c r="V30" i="5" s="1"/>
  <c r="W30" i="5" s="1"/>
  <c r="P41" i="5"/>
  <c r="U41" i="5" s="1"/>
  <c r="V41" i="5" s="1"/>
  <c r="W41" i="5" s="1"/>
  <c r="P36" i="5"/>
  <c r="R36" i="5" s="1"/>
  <c r="S36" i="5" s="1"/>
  <c r="P22" i="5"/>
  <c r="U22" i="5" s="1"/>
  <c r="V22" i="5" s="1"/>
  <c r="W22" i="5" s="1"/>
  <c r="P40" i="5"/>
  <c r="R40" i="5" s="1"/>
  <c r="S40" i="5" s="1"/>
  <c r="P27" i="5"/>
  <c r="U27" i="5" s="1"/>
  <c r="V27" i="5" s="1"/>
  <c r="W27" i="5" s="1"/>
  <c r="P51" i="5"/>
  <c r="U51" i="5" s="1"/>
  <c r="V51" i="5" s="1"/>
  <c r="W51" i="5" s="1"/>
  <c r="P44" i="5"/>
  <c r="R44" i="5" s="1"/>
  <c r="S44" i="5" s="1"/>
  <c r="P61" i="5"/>
  <c r="U61" i="5" s="1"/>
  <c r="V61" i="5" s="1"/>
  <c r="W61" i="5" s="1"/>
  <c r="P17" i="5"/>
  <c r="U17" i="5" s="1"/>
  <c r="V17" i="5" s="1"/>
  <c r="W17" i="5" s="1"/>
  <c r="P46" i="5"/>
  <c r="U46" i="5" s="1"/>
  <c r="V46" i="5" s="1"/>
  <c r="W46" i="5" s="1"/>
  <c r="P33" i="5"/>
  <c r="U33" i="5" s="1"/>
  <c r="V33" i="5" s="1"/>
  <c r="W33" i="5" s="1"/>
  <c r="P29" i="5"/>
  <c r="U29" i="5" s="1"/>
  <c r="V29" i="5" s="1"/>
  <c r="W29" i="5" s="1"/>
  <c r="P21" i="5"/>
  <c r="U21" i="5" s="1"/>
  <c r="V21" i="5" s="1"/>
  <c r="W21" i="5" s="1"/>
  <c r="P63" i="5"/>
  <c r="U63" i="5" s="1"/>
  <c r="V63" i="5" s="1"/>
  <c r="W63" i="5" s="1"/>
  <c r="P49" i="5"/>
  <c r="U49" i="5" s="1"/>
  <c r="V49" i="5" s="1"/>
  <c r="W49" i="5" s="1"/>
  <c r="P52" i="5"/>
  <c r="U52" i="5" s="1"/>
  <c r="V52" i="5" s="1"/>
  <c r="W52" i="5" s="1"/>
  <c r="P47" i="5"/>
  <c r="U47" i="5" s="1"/>
  <c r="V47" i="5" s="1"/>
  <c r="W47" i="5" s="1"/>
  <c r="P45" i="5"/>
  <c r="U45" i="5" s="1"/>
  <c r="V45" i="5" s="1"/>
  <c r="W45" i="5" s="1"/>
  <c r="P53" i="5"/>
  <c r="U53" i="5" s="1"/>
  <c r="V53" i="5" s="1"/>
  <c r="W53" i="5" s="1"/>
  <c r="P34" i="5"/>
  <c r="R34" i="5" s="1"/>
  <c r="S34" i="5" s="1"/>
  <c r="P60" i="5"/>
  <c r="U60" i="5" s="1"/>
  <c r="V60" i="5" s="1"/>
  <c r="W60" i="5" s="1"/>
  <c r="P58" i="5"/>
  <c r="U58" i="5" s="1"/>
  <c r="V58" i="5" s="1"/>
  <c r="W58" i="5" s="1"/>
  <c r="P23" i="5"/>
  <c r="U23" i="5" s="1"/>
  <c r="V23" i="5" s="1"/>
  <c r="W23" i="5" s="1"/>
  <c r="P59" i="5"/>
  <c r="U59" i="5" s="1"/>
  <c r="V59" i="5" s="1"/>
  <c r="W59" i="5" s="1"/>
  <c r="P26" i="5"/>
  <c r="U26" i="5" s="1"/>
  <c r="V26" i="5" s="1"/>
  <c r="W26" i="5" s="1"/>
  <c r="AN6" i="5"/>
  <c r="P20" i="5"/>
  <c r="U20" i="5" s="1"/>
  <c r="V20" i="5" s="1"/>
  <c r="W20" i="5" s="1"/>
  <c r="P42" i="5"/>
  <c r="U42" i="5" s="1"/>
  <c r="V42" i="5" s="1"/>
  <c r="W42" i="5" s="1"/>
  <c r="AO25" i="7"/>
  <c r="AN25" i="7"/>
  <c r="AM25" i="7"/>
  <c r="Q24" i="7"/>
  <c r="Q14" i="7" s="1"/>
  <c r="Q11" i="6" s="1"/>
  <c r="P23" i="7"/>
  <c r="P14" i="7" s="1"/>
  <c r="P11" i="6" s="1"/>
  <c r="O22" i="7"/>
  <c r="O14" i="7" s="1"/>
  <c r="O11" i="6" s="1"/>
  <c r="E15" i="7"/>
  <c r="J11" i="6"/>
  <c r="C15" i="7"/>
  <c r="H11" i="6"/>
  <c r="D15" i="7"/>
  <c r="P16" i="5"/>
  <c r="U16" i="5" s="1"/>
  <c r="V16" i="5" s="1"/>
  <c r="W16" i="5" s="1"/>
  <c r="O15" i="6"/>
  <c r="T15" i="6" s="1"/>
  <c r="P15" i="6"/>
  <c r="U15" i="6" s="1"/>
  <c r="Q15" i="6"/>
  <c r="V15" i="6" s="1"/>
  <c r="U28" i="5"/>
  <c r="V28" i="5" s="1"/>
  <c r="W28" i="5" s="1"/>
  <c r="AA15" i="6"/>
  <c r="AF15" i="6" s="1"/>
  <c r="AB15" i="6"/>
  <c r="AG15" i="6" s="1"/>
  <c r="AC15" i="6"/>
  <c r="AH15" i="6" s="1"/>
  <c r="P15" i="5"/>
  <c r="P14" i="5"/>
  <c r="U14" i="5" s="1"/>
  <c r="P18" i="5"/>
  <c r="R57" i="5"/>
  <c r="S57" i="5" s="1"/>
  <c r="V57" i="5"/>
  <c r="W57" i="5" s="1"/>
  <c r="R43" i="5"/>
  <c r="S43" i="5" s="1"/>
  <c r="V43" i="5"/>
  <c r="W43" i="5" s="1"/>
  <c r="C15" i="6"/>
  <c r="H15" i="6" s="1"/>
  <c r="D15" i="6"/>
  <c r="I15" i="6" s="1"/>
  <c r="AL10" i="7"/>
  <c r="AX3" i="9"/>
  <c r="AX6" i="7"/>
  <c r="AZ2" i="5"/>
  <c r="BD2" i="6"/>
  <c r="AY21" i="12" s="1"/>
  <c r="AN8" i="5"/>
  <c r="AL12" i="7"/>
  <c r="AY6" i="6"/>
  <c r="AY29" i="12" s="1"/>
  <c r="D44" i="5"/>
  <c r="I44" i="5" s="1"/>
  <c r="D54" i="5"/>
  <c r="I54" i="5" s="1"/>
  <c r="D52" i="5"/>
  <c r="I52" i="5" s="1"/>
  <c r="D36" i="5"/>
  <c r="I36" i="5" s="1"/>
  <c r="D20" i="5"/>
  <c r="I20" i="5" s="1"/>
  <c r="D60" i="5"/>
  <c r="D47" i="5"/>
  <c r="I47" i="5" s="1"/>
  <c r="AX4" i="9"/>
  <c r="AX7" i="7"/>
  <c r="AZ3" i="5"/>
  <c r="D56" i="5"/>
  <c r="I56" i="5" s="1"/>
  <c r="D51" i="5"/>
  <c r="I51" i="5" s="1"/>
  <c r="D31" i="5"/>
  <c r="I31" i="5" s="1"/>
  <c r="D15" i="5"/>
  <c r="I15" i="5" s="1"/>
  <c r="D43" i="5"/>
  <c r="I43" i="5" s="1"/>
  <c r="D27" i="5"/>
  <c r="I27" i="5" s="1"/>
  <c r="D39" i="5"/>
  <c r="I39" i="5" s="1"/>
  <c r="D23" i="5"/>
  <c r="I23" i="5" s="1"/>
  <c r="D35" i="5"/>
  <c r="I35" i="5" s="1"/>
  <c r="D19" i="5"/>
  <c r="I19" i="5" s="1"/>
  <c r="D58" i="5"/>
  <c r="I58" i="5" s="1"/>
  <c r="D30" i="5"/>
  <c r="I30" i="5" s="1"/>
  <c r="AA61" i="5"/>
  <c r="Z60" i="5"/>
  <c r="AA56" i="5"/>
  <c r="Z55" i="5"/>
  <c r="AA54" i="5"/>
  <c r="Z53" i="5"/>
  <c r="Z52" i="5"/>
  <c r="AA48" i="5"/>
  <c r="Z47" i="5"/>
  <c r="Z46" i="5"/>
  <c r="AA43" i="5"/>
  <c r="AA42" i="5"/>
  <c r="Z41" i="5"/>
  <c r="AA37" i="5"/>
  <c r="Z36" i="5"/>
  <c r="AA63" i="5"/>
  <c r="Z62" i="5"/>
  <c r="AA60" i="5"/>
  <c r="Z56" i="5"/>
  <c r="AA53" i="5"/>
  <c r="AA49" i="5"/>
  <c r="AA46" i="5"/>
  <c r="Z43" i="5"/>
  <c r="Z40" i="5"/>
  <c r="Z37" i="5"/>
  <c r="AA35" i="5"/>
  <c r="AA34" i="5"/>
  <c r="Z33" i="5"/>
  <c r="AA29" i="5"/>
  <c r="Z28" i="5"/>
  <c r="AA24" i="5"/>
  <c r="Z23" i="5"/>
  <c r="Z22" i="5"/>
  <c r="AA19" i="5"/>
  <c r="AA18" i="5"/>
  <c r="Z17" i="5"/>
  <c r="Z63" i="5"/>
  <c r="AA57" i="5"/>
  <c r="AA51" i="5"/>
  <c r="AA50" i="5"/>
  <c r="Z49" i="5"/>
  <c r="AA47" i="5"/>
  <c r="AA44" i="5"/>
  <c r="AA41" i="5"/>
  <c r="AA38" i="5"/>
  <c r="Z35" i="5"/>
  <c r="Z34" i="5"/>
  <c r="AA31" i="5"/>
  <c r="AA30" i="5"/>
  <c r="Z29" i="5"/>
  <c r="AA25" i="5"/>
  <c r="Z24" i="5"/>
  <c r="AA20" i="5"/>
  <c r="Z19" i="5"/>
  <c r="Z18" i="5"/>
  <c r="AA15" i="5"/>
  <c r="AA14" i="5"/>
  <c r="Z61" i="5"/>
  <c r="AA59" i="5"/>
  <c r="AA58" i="5"/>
  <c r="Z57" i="5"/>
  <c r="AA55" i="5"/>
  <c r="Z54" i="5"/>
  <c r="Z51" i="5"/>
  <c r="Z50" i="5"/>
  <c r="AA45" i="5"/>
  <c r="Z44" i="5"/>
  <c r="AB44" i="5" s="1"/>
  <c r="AG44" i="5" s="1"/>
  <c r="AA39" i="5"/>
  <c r="Z38" i="5"/>
  <c r="AB38" i="5" s="1"/>
  <c r="AG38" i="5" s="1"/>
  <c r="AA36" i="5"/>
  <c r="AA32" i="5"/>
  <c r="Z31" i="5"/>
  <c r="Z30" i="5"/>
  <c r="AB30" i="5" s="1"/>
  <c r="AG30" i="5" s="1"/>
  <c r="AA27" i="5"/>
  <c r="AA26" i="5"/>
  <c r="Z25" i="5"/>
  <c r="AA21" i="5"/>
  <c r="Z20" i="5"/>
  <c r="AA16" i="5"/>
  <c r="Z15" i="5"/>
  <c r="Z14" i="5"/>
  <c r="AA62" i="5"/>
  <c r="Z59" i="5"/>
  <c r="Z58" i="5"/>
  <c r="AA52" i="5"/>
  <c r="Z48" i="5"/>
  <c r="Z45" i="5"/>
  <c r="Z42" i="5"/>
  <c r="AA40" i="5"/>
  <c r="Z39" i="5"/>
  <c r="AA33" i="5"/>
  <c r="Z32" i="5"/>
  <c r="AA28" i="5"/>
  <c r="Z27" i="5"/>
  <c r="Z26" i="5"/>
  <c r="AA23" i="5"/>
  <c r="AA22" i="5"/>
  <c r="Z21" i="5"/>
  <c r="AA17" i="5"/>
  <c r="Z16" i="5"/>
  <c r="D59" i="5"/>
  <c r="I59" i="5" s="1"/>
  <c r="D45" i="5"/>
  <c r="I45" i="5" s="1"/>
  <c r="D53" i="5"/>
  <c r="I53" i="5" s="1"/>
  <c r="D46" i="5"/>
  <c r="I46" i="5" s="1"/>
  <c r="D37" i="5"/>
  <c r="I37" i="5" s="1"/>
  <c r="D21" i="5"/>
  <c r="I21" i="5" s="1"/>
  <c r="D49" i="5"/>
  <c r="I49" i="5" s="1"/>
  <c r="D42" i="5"/>
  <c r="I42" i="5" s="1"/>
  <c r="D33" i="5"/>
  <c r="I33" i="5" s="1"/>
  <c r="D26" i="5"/>
  <c r="I26" i="5" s="1"/>
  <c r="D17" i="5"/>
  <c r="I17" i="5" s="1"/>
  <c r="D38" i="5"/>
  <c r="I38" i="5" s="1"/>
  <c r="D29" i="5"/>
  <c r="I29" i="5" s="1"/>
  <c r="D22" i="5"/>
  <c r="I22" i="5" s="1"/>
  <c r="D41" i="5"/>
  <c r="I41" i="5" s="1"/>
  <c r="D34" i="5"/>
  <c r="I34" i="5" s="1"/>
  <c r="D25" i="5"/>
  <c r="I25" i="5" s="1"/>
  <c r="D18" i="5"/>
  <c r="I18" i="5" s="1"/>
  <c r="D63" i="5"/>
  <c r="I63" i="5" s="1"/>
  <c r="D57" i="5"/>
  <c r="I57" i="5" s="1"/>
  <c r="D48" i="5"/>
  <c r="I48" i="5" s="1"/>
  <c r="D32" i="5"/>
  <c r="I32" i="5" s="1"/>
  <c r="D16" i="5"/>
  <c r="I16" i="5" s="1"/>
  <c r="D28" i="5"/>
  <c r="I28" i="5" s="1"/>
  <c r="D40" i="5"/>
  <c r="I40" i="5" s="1"/>
  <c r="D24" i="5"/>
  <c r="I24" i="5" s="1"/>
  <c r="Z11" i="7"/>
  <c r="D55" i="5"/>
  <c r="I55" i="5" s="1"/>
  <c r="D62" i="5"/>
  <c r="I62" i="5" s="1"/>
  <c r="D50" i="5"/>
  <c r="I50" i="5" s="1"/>
  <c r="D61" i="5"/>
  <c r="I61" i="5" s="1"/>
  <c r="AB14" i="6"/>
  <c r="AG14" i="6" s="1"/>
  <c r="AC14" i="6"/>
  <c r="AH14" i="6" s="1"/>
  <c r="AA14" i="6"/>
  <c r="AF14" i="6" s="1"/>
  <c r="AY4" i="6"/>
  <c r="AX5" i="10" s="1"/>
  <c r="AL5" i="9"/>
  <c r="AN4" i="5"/>
  <c r="AL8" i="7"/>
  <c r="AY30" i="12"/>
  <c r="AY42" i="12" s="1"/>
  <c r="AY33" i="12" s="1"/>
  <c r="AL6" i="9"/>
  <c r="AN5" i="5"/>
  <c r="AL9" i="7"/>
  <c r="BD3" i="6"/>
  <c r="AY22" i="12" s="1"/>
  <c r="AM12" i="7"/>
  <c r="AO8" i="5"/>
  <c r="BD6" i="6"/>
  <c r="BB5" i="8" s="1"/>
  <c r="BD5" i="6"/>
  <c r="BB4" i="8" s="1"/>
  <c r="BA19" i="8" s="1"/>
  <c r="BD8" i="6"/>
  <c r="BB7" i="8" s="1"/>
  <c r="BD7" i="6"/>
  <c r="BB6" i="8" s="1"/>
  <c r="BD4" i="6"/>
  <c r="BB3" i="8" s="1"/>
  <c r="AY14" i="8" s="1"/>
  <c r="H26" i="8"/>
  <c r="I26" i="8" s="1"/>
  <c r="I24" i="8" s="1"/>
  <c r="D7" i="5"/>
  <c r="D14" i="5"/>
  <c r="I14" i="5" s="1"/>
  <c r="H49" i="1"/>
  <c r="F49" i="1"/>
  <c r="D49" i="1"/>
  <c r="F24" i="1"/>
  <c r="F48" i="1" s="1"/>
  <c r="C20" i="1"/>
  <c r="C47" i="1" s="1"/>
  <c r="BA16" i="8" l="1"/>
  <c r="BA15" i="8" s="1"/>
  <c r="AN22" i="8"/>
  <c r="AO22" i="8" s="1"/>
  <c r="AN23" i="8" s="1"/>
  <c r="AO23" i="8" s="1"/>
  <c r="AO21" i="8" s="1"/>
  <c r="BE24" i="8"/>
  <c r="AX22" i="8" s="1"/>
  <c r="BF24" i="8"/>
  <c r="AY22" i="8" s="1"/>
  <c r="R50" i="5"/>
  <c r="S50" i="5" s="1"/>
  <c r="U24" i="5"/>
  <c r="V24" i="5" s="1"/>
  <c r="W24" i="5" s="1"/>
  <c r="BA18" i="8"/>
  <c r="BA17" i="8" s="1"/>
  <c r="R55" i="5"/>
  <c r="S55" i="5" s="1"/>
  <c r="R31" i="5"/>
  <c r="S31" i="5" s="1"/>
  <c r="R32" i="5"/>
  <c r="S32" i="5" s="1"/>
  <c r="R38" i="5"/>
  <c r="S38" i="5" s="1"/>
  <c r="AY18" i="12"/>
  <c r="R62" i="5"/>
  <c r="S62" i="5" s="1"/>
  <c r="R25" i="5"/>
  <c r="S25" i="5" s="1"/>
  <c r="R39" i="5"/>
  <c r="S39" i="5" s="1"/>
  <c r="R54" i="5"/>
  <c r="S54" i="5" s="1"/>
  <c r="BA14" i="10"/>
  <c r="BA13" i="10"/>
  <c r="BA12" i="10"/>
  <c r="BA11" i="10"/>
  <c r="AL8" i="10"/>
  <c r="R35" i="5"/>
  <c r="S35" i="5" s="1"/>
  <c r="R48" i="5"/>
  <c r="S48" i="5" s="1"/>
  <c r="R56" i="5"/>
  <c r="S56" i="5" s="1"/>
  <c r="R19" i="5"/>
  <c r="S19" i="5" s="1"/>
  <c r="R30" i="5"/>
  <c r="S30" i="5" s="1"/>
  <c r="R37" i="5"/>
  <c r="S37" i="5" s="1"/>
  <c r="R22" i="5"/>
  <c r="S22" i="5" s="1"/>
  <c r="U36" i="5"/>
  <c r="V36" i="5" s="1"/>
  <c r="W36" i="5" s="1"/>
  <c r="R41" i="5"/>
  <c r="S41" i="5" s="1"/>
  <c r="AY20" i="12"/>
  <c r="AY25" i="12"/>
  <c r="AY27" i="12"/>
  <c r="AY24" i="12"/>
  <c r="AY26" i="12"/>
  <c r="AY23" i="12"/>
  <c r="R51" i="5"/>
  <c r="S51" i="5" s="1"/>
  <c r="U40" i="5"/>
  <c r="V40" i="5" s="1"/>
  <c r="W40" i="5" s="1"/>
  <c r="AB56" i="5"/>
  <c r="AG56" i="5" s="1"/>
  <c r="AH56" i="5" s="1"/>
  <c r="AI56" i="5" s="1"/>
  <c r="R27" i="5"/>
  <c r="S27" i="5" s="1"/>
  <c r="R61" i="5"/>
  <c r="S61" i="5" s="1"/>
  <c r="R49" i="5"/>
  <c r="S49" i="5" s="1"/>
  <c r="R52" i="5"/>
  <c r="S52" i="5" s="1"/>
  <c r="U44" i="5"/>
  <c r="V44" i="5" s="1"/>
  <c r="W44" i="5" s="1"/>
  <c r="R46" i="5"/>
  <c r="S46" i="5" s="1"/>
  <c r="R29" i="5"/>
  <c r="S29" i="5" s="1"/>
  <c r="R45" i="5"/>
  <c r="S45" i="5" s="1"/>
  <c r="R47" i="5"/>
  <c r="S47" i="5" s="1"/>
  <c r="R17" i="5"/>
  <c r="S17" i="5" s="1"/>
  <c r="R33" i="5"/>
  <c r="S33" i="5" s="1"/>
  <c r="R21" i="5"/>
  <c r="S21" i="5" s="1"/>
  <c r="R63" i="5"/>
  <c r="S63" i="5" s="1"/>
  <c r="U34" i="5"/>
  <c r="V34" i="5" s="1"/>
  <c r="W34" i="5" s="1"/>
  <c r="R58" i="5"/>
  <c r="S58" i="5" s="1"/>
  <c r="R53" i="5"/>
  <c r="S53" i="5" s="1"/>
  <c r="R23" i="5"/>
  <c r="S23" i="5" s="1"/>
  <c r="R60" i="5"/>
  <c r="S60" i="5" s="1"/>
  <c r="R20" i="5"/>
  <c r="S20" i="5" s="1"/>
  <c r="AB19" i="5"/>
  <c r="AG19" i="5" s="1"/>
  <c r="AH19" i="5" s="1"/>
  <c r="AI19" i="5" s="1"/>
  <c r="R26" i="5"/>
  <c r="S26" i="5" s="1"/>
  <c r="R59" i="5"/>
  <c r="S59" i="5" s="1"/>
  <c r="R42" i="5"/>
  <c r="S42" i="5" s="1"/>
  <c r="AB26" i="5"/>
  <c r="AG26" i="5" s="1"/>
  <c r="AH26" i="5" s="1"/>
  <c r="AI26" i="5" s="1"/>
  <c r="AB18" i="5"/>
  <c r="AG18" i="5" s="1"/>
  <c r="AH18" i="5" s="1"/>
  <c r="AI18" i="5" s="1"/>
  <c r="AB34" i="5"/>
  <c r="AG34" i="5" s="1"/>
  <c r="AH34" i="5" s="1"/>
  <c r="AI34" i="5" s="1"/>
  <c r="AB43" i="5"/>
  <c r="AG43" i="5" s="1"/>
  <c r="AH43" i="5" s="1"/>
  <c r="AI43" i="5" s="1"/>
  <c r="AZ6" i="5"/>
  <c r="AB14" i="5"/>
  <c r="AG14" i="5" s="1"/>
  <c r="AH14" i="5" s="1"/>
  <c r="AI14" i="5" s="1"/>
  <c r="AB15" i="5"/>
  <c r="AG15" i="5" s="1"/>
  <c r="AH15" i="5" s="1"/>
  <c r="AI15" i="5" s="1"/>
  <c r="AB58" i="5"/>
  <c r="AG58" i="5" s="1"/>
  <c r="AH58" i="5" s="1"/>
  <c r="AI58" i="5" s="1"/>
  <c r="AB49" i="5"/>
  <c r="AG49" i="5" s="1"/>
  <c r="AH49" i="5" s="1"/>
  <c r="AI49" i="5" s="1"/>
  <c r="AB42" i="5"/>
  <c r="AG42" i="5" s="1"/>
  <c r="AH42" i="5" s="1"/>
  <c r="AI42" i="5" s="1"/>
  <c r="BA25" i="7"/>
  <c r="AZ25" i="7"/>
  <c r="AY25" i="7"/>
  <c r="AO21" i="7"/>
  <c r="AN21" i="7"/>
  <c r="AM21" i="7"/>
  <c r="AC24" i="7"/>
  <c r="AC14" i="7" s="1"/>
  <c r="AB23" i="7"/>
  <c r="AB14" i="7" s="1"/>
  <c r="AA22" i="7"/>
  <c r="AA14" i="7" s="1"/>
  <c r="G63" i="18"/>
  <c r="H63" i="18" s="1"/>
  <c r="I60" i="5"/>
  <c r="J60" i="5" s="1"/>
  <c r="K60" i="5" s="1"/>
  <c r="T11" i="6"/>
  <c r="U11" i="6"/>
  <c r="V11" i="6"/>
  <c r="R16" i="5"/>
  <c r="S16" i="5" s="1"/>
  <c r="U15" i="5"/>
  <c r="V15" i="5" s="1"/>
  <c r="W15" i="5" s="1"/>
  <c r="O15" i="7"/>
  <c r="R18" i="5"/>
  <c r="S18" i="5" s="1"/>
  <c r="U18" i="5"/>
  <c r="V18" i="5" s="1"/>
  <c r="W18" i="5" s="1"/>
  <c r="AX10" i="7"/>
  <c r="P15" i="7"/>
  <c r="Q15" i="7"/>
  <c r="R15" i="5"/>
  <c r="S15" i="5" s="1"/>
  <c r="V14" i="5"/>
  <c r="W14" i="5" s="1"/>
  <c r="V2" i="5"/>
  <c r="T3" i="5" s="1"/>
  <c r="R14" i="5"/>
  <c r="S14" i="5" s="1"/>
  <c r="F40" i="5"/>
  <c r="G40" i="5" s="1"/>
  <c r="J40" i="5"/>
  <c r="K40" i="5" s="1"/>
  <c r="F25" i="5"/>
  <c r="G25" i="5" s="1"/>
  <c r="J25" i="5"/>
  <c r="K25" i="5" s="1"/>
  <c r="F29" i="5"/>
  <c r="G29" i="5" s="1"/>
  <c r="J29" i="5"/>
  <c r="K29" i="5" s="1"/>
  <c r="F37" i="5"/>
  <c r="G37" i="5" s="1"/>
  <c r="J37" i="5"/>
  <c r="K37" i="5" s="1"/>
  <c r="AD30" i="5"/>
  <c r="AE30" i="5" s="1"/>
  <c r="AH30" i="5"/>
  <c r="AI30" i="5" s="1"/>
  <c r="F43" i="5"/>
  <c r="G43" i="5" s="1"/>
  <c r="J43" i="5"/>
  <c r="K43" i="5" s="1"/>
  <c r="J2" i="5"/>
  <c r="J14" i="5"/>
  <c r="K14" i="5" s="1"/>
  <c r="F55" i="5"/>
  <c r="G55" i="5" s="1"/>
  <c r="J55" i="5"/>
  <c r="K55" i="5" s="1"/>
  <c r="F34" i="5"/>
  <c r="G34" i="5" s="1"/>
  <c r="J34" i="5"/>
  <c r="K34" i="5" s="1"/>
  <c r="F47" i="5"/>
  <c r="G47" i="5" s="1"/>
  <c r="J47" i="5"/>
  <c r="K47" i="5" s="1"/>
  <c r="F52" i="5"/>
  <c r="G52" i="5" s="1"/>
  <c r="J52" i="5"/>
  <c r="K52" i="5" s="1"/>
  <c r="F62" i="5"/>
  <c r="G62" i="5" s="1"/>
  <c r="J62" i="5"/>
  <c r="K62" i="5" s="1"/>
  <c r="F48" i="5"/>
  <c r="G48" i="5" s="1"/>
  <c r="J48" i="5"/>
  <c r="K48" i="5" s="1"/>
  <c r="F33" i="5"/>
  <c r="G33" i="5" s="1"/>
  <c r="J33" i="5"/>
  <c r="K33" i="5" s="1"/>
  <c r="F59" i="5"/>
  <c r="G59" i="5" s="1"/>
  <c r="J59" i="5"/>
  <c r="K59" i="5" s="1"/>
  <c r="AD38" i="5"/>
  <c r="AE38" i="5" s="1"/>
  <c r="AH38" i="5"/>
  <c r="AI38" i="5" s="1"/>
  <c r="F58" i="5"/>
  <c r="G58" i="5" s="1"/>
  <c r="J58" i="5"/>
  <c r="K58" i="5" s="1"/>
  <c r="F35" i="5"/>
  <c r="G35" i="5" s="1"/>
  <c r="J35" i="5"/>
  <c r="K35" i="5" s="1"/>
  <c r="F36" i="5"/>
  <c r="G36" i="5" s="1"/>
  <c r="J36" i="5"/>
  <c r="K36" i="5" s="1"/>
  <c r="F57" i="5"/>
  <c r="G57" i="5" s="1"/>
  <c r="J57" i="5"/>
  <c r="K57" i="5" s="1"/>
  <c r="F42" i="5"/>
  <c r="G42" i="5" s="1"/>
  <c r="J42" i="5"/>
  <c r="K42" i="5" s="1"/>
  <c r="F30" i="5"/>
  <c r="G30" i="5" s="1"/>
  <c r="J30" i="5"/>
  <c r="K30" i="5" s="1"/>
  <c r="F23" i="5"/>
  <c r="G23" i="5" s="1"/>
  <c r="J23" i="5"/>
  <c r="K23" i="5" s="1"/>
  <c r="F15" i="5"/>
  <c r="G15" i="5" s="1"/>
  <c r="J15" i="5"/>
  <c r="K15" i="5" s="1"/>
  <c r="F61" i="5"/>
  <c r="G61" i="5" s="1"/>
  <c r="J61" i="5"/>
  <c r="K61" i="5" s="1"/>
  <c r="F16" i="5"/>
  <c r="G16" i="5" s="1"/>
  <c r="J16" i="5"/>
  <c r="K16" i="5" s="1"/>
  <c r="F41" i="5"/>
  <c r="G41" i="5" s="1"/>
  <c r="J41" i="5"/>
  <c r="K41" i="5" s="1"/>
  <c r="F17" i="5"/>
  <c r="G17" i="5" s="1"/>
  <c r="J17" i="5"/>
  <c r="K17" i="5" s="1"/>
  <c r="F53" i="5"/>
  <c r="G53" i="5" s="1"/>
  <c r="J53" i="5"/>
  <c r="K53" i="5" s="1"/>
  <c r="F39" i="5"/>
  <c r="G39" i="5" s="1"/>
  <c r="J39" i="5"/>
  <c r="K39" i="5" s="1"/>
  <c r="F31" i="5"/>
  <c r="G31" i="5" s="1"/>
  <c r="J31" i="5"/>
  <c r="K31" i="5" s="1"/>
  <c r="F60" i="5"/>
  <c r="G60" i="5" s="1"/>
  <c r="F54" i="5"/>
  <c r="G54" i="5" s="1"/>
  <c r="J54" i="5"/>
  <c r="K54" i="5" s="1"/>
  <c r="F56" i="5"/>
  <c r="G56" i="5" s="1"/>
  <c r="J56" i="5"/>
  <c r="K56" i="5" s="1"/>
  <c r="F28" i="5"/>
  <c r="G28" i="5" s="1"/>
  <c r="J28" i="5"/>
  <c r="K28" i="5" s="1"/>
  <c r="F38" i="5"/>
  <c r="G38" i="5" s="1"/>
  <c r="J38" i="5"/>
  <c r="K38" i="5" s="1"/>
  <c r="F46" i="5"/>
  <c r="G46" i="5" s="1"/>
  <c r="J46" i="5"/>
  <c r="K46" i="5" s="1"/>
  <c r="F63" i="5"/>
  <c r="G63" i="5" s="1"/>
  <c r="J63" i="5"/>
  <c r="K63" i="5" s="1"/>
  <c r="F49" i="5"/>
  <c r="G49" i="5" s="1"/>
  <c r="J49" i="5"/>
  <c r="K49" i="5" s="1"/>
  <c r="AD44" i="5"/>
  <c r="AE44" i="5" s="1"/>
  <c r="AH44" i="5"/>
  <c r="AI44" i="5" s="1"/>
  <c r="G39" i="18"/>
  <c r="H39" i="18" s="1"/>
  <c r="F50" i="5"/>
  <c r="G50" i="5" s="1"/>
  <c r="J50" i="5"/>
  <c r="K50" i="5" s="1"/>
  <c r="F24" i="5"/>
  <c r="G24" i="5" s="1"/>
  <c r="J24" i="5"/>
  <c r="K24" i="5" s="1"/>
  <c r="F32" i="5"/>
  <c r="G32" i="5" s="1"/>
  <c r="J32" i="5"/>
  <c r="K32" i="5" s="1"/>
  <c r="F18" i="5"/>
  <c r="G18" i="5" s="1"/>
  <c r="J18" i="5"/>
  <c r="K18" i="5" s="1"/>
  <c r="F22" i="5"/>
  <c r="G22" i="5" s="1"/>
  <c r="J22" i="5"/>
  <c r="K22" i="5" s="1"/>
  <c r="F26" i="5"/>
  <c r="G26" i="5" s="1"/>
  <c r="J26" i="5"/>
  <c r="K26" i="5" s="1"/>
  <c r="F21" i="5"/>
  <c r="G21" i="5" s="1"/>
  <c r="J21" i="5"/>
  <c r="K21" i="5" s="1"/>
  <c r="F45" i="5"/>
  <c r="G45" i="5" s="1"/>
  <c r="J45" i="5"/>
  <c r="K45" i="5" s="1"/>
  <c r="F19" i="5"/>
  <c r="G19" i="5" s="1"/>
  <c r="J19" i="5"/>
  <c r="K19" i="5" s="1"/>
  <c r="F27" i="5"/>
  <c r="G27" i="5" s="1"/>
  <c r="J27" i="5"/>
  <c r="K27" i="5" s="1"/>
  <c r="F51" i="5"/>
  <c r="G51" i="5" s="1"/>
  <c r="J51" i="5"/>
  <c r="K51" i="5" s="1"/>
  <c r="F20" i="5"/>
  <c r="G20" i="5" s="1"/>
  <c r="J20" i="5"/>
  <c r="K20" i="5" s="1"/>
  <c r="F44" i="5"/>
  <c r="G44" i="5" s="1"/>
  <c r="J44" i="5"/>
  <c r="K44" i="5" s="1"/>
  <c r="G31" i="18"/>
  <c r="H31" i="18" s="1"/>
  <c r="G60" i="18"/>
  <c r="H60" i="18" s="1"/>
  <c r="G29" i="18"/>
  <c r="H29" i="18" s="1"/>
  <c r="G47" i="18"/>
  <c r="H47" i="18" s="1"/>
  <c r="G48" i="18"/>
  <c r="H48" i="18" s="1"/>
  <c r="G55" i="18"/>
  <c r="H55" i="18" s="1"/>
  <c r="AB45" i="5"/>
  <c r="AG45" i="5" s="1"/>
  <c r="AB36" i="5"/>
  <c r="AG36" i="5" s="1"/>
  <c r="AZ8" i="5"/>
  <c r="AX12" i="7"/>
  <c r="F14" i="5"/>
  <c r="G14" i="5" s="1"/>
  <c r="I11" i="6"/>
  <c r="G51" i="18"/>
  <c r="H51" i="18" s="1"/>
  <c r="AB54" i="5"/>
  <c r="AG54" i="5" s="1"/>
  <c r="AB52" i="5"/>
  <c r="AG52" i="5" s="1"/>
  <c r="G30" i="18"/>
  <c r="H30" i="18" s="1"/>
  <c r="AB21" i="5"/>
  <c r="AG21" i="5" s="1"/>
  <c r="AB20" i="5"/>
  <c r="AG20" i="5" s="1"/>
  <c r="AB61" i="5"/>
  <c r="AG61" i="5" s="1"/>
  <c r="AB29" i="5"/>
  <c r="AG29" i="5" s="1"/>
  <c r="AB47" i="5"/>
  <c r="AG47" i="5" s="1"/>
  <c r="AB51" i="5"/>
  <c r="AG51" i="5" s="1"/>
  <c r="G45" i="18"/>
  <c r="H45" i="18" s="1"/>
  <c r="AB39" i="5"/>
  <c r="AG39" i="5" s="1"/>
  <c r="AB48" i="5"/>
  <c r="AG48" i="5" s="1"/>
  <c r="AB55" i="5"/>
  <c r="AG55" i="5" s="1"/>
  <c r="AB28" i="5"/>
  <c r="AG28" i="5" s="1"/>
  <c r="AB53" i="5"/>
  <c r="AG53" i="5" s="1"/>
  <c r="G49" i="18"/>
  <c r="H49" i="18" s="1"/>
  <c r="AB59" i="5"/>
  <c r="AG59" i="5" s="1"/>
  <c r="AM59" i="5"/>
  <c r="AM57" i="5"/>
  <c r="AM56" i="5"/>
  <c r="AL55" i="5"/>
  <c r="AM54" i="5"/>
  <c r="AL53" i="5"/>
  <c r="AL52" i="5"/>
  <c r="AL50" i="5"/>
  <c r="AM43" i="5"/>
  <c r="AM41" i="5"/>
  <c r="AM40" i="5"/>
  <c r="AL39" i="5"/>
  <c r="AM38" i="5"/>
  <c r="AL37" i="5"/>
  <c r="AL36" i="5"/>
  <c r="AL34" i="5"/>
  <c r="AM27" i="5"/>
  <c r="AM25" i="5"/>
  <c r="AM24" i="5"/>
  <c r="AL23" i="5"/>
  <c r="AM22" i="5"/>
  <c r="AL21" i="5"/>
  <c r="AL20" i="5"/>
  <c r="AL18" i="5"/>
  <c r="AM63" i="5"/>
  <c r="AM61" i="5"/>
  <c r="AM60" i="5"/>
  <c r="AL59" i="5"/>
  <c r="AM58" i="5"/>
  <c r="AL57" i="5"/>
  <c r="AL56" i="5"/>
  <c r="AL54" i="5"/>
  <c r="AM47" i="5"/>
  <c r="AM45" i="5"/>
  <c r="AM44" i="5"/>
  <c r="AL43" i="5"/>
  <c r="AM42" i="5"/>
  <c r="AL41" i="5"/>
  <c r="AL40" i="5"/>
  <c r="AL38" i="5"/>
  <c r="AM31" i="5"/>
  <c r="AM29" i="5"/>
  <c r="AM28" i="5"/>
  <c r="AL27" i="5"/>
  <c r="AM26" i="5"/>
  <c r="AL25" i="5"/>
  <c r="AL24" i="5"/>
  <c r="AL22" i="5"/>
  <c r="AM15" i="5"/>
  <c r="AL63" i="5"/>
  <c r="AM62" i="5"/>
  <c r="AL61" i="5"/>
  <c r="AL60" i="5"/>
  <c r="AL58" i="5"/>
  <c r="AM51" i="5"/>
  <c r="AM49" i="5"/>
  <c r="AM48" i="5"/>
  <c r="AL47" i="5"/>
  <c r="AM46" i="5"/>
  <c r="AL45" i="5"/>
  <c r="AL44" i="5"/>
  <c r="AL42" i="5"/>
  <c r="AM35" i="5"/>
  <c r="AM33" i="5"/>
  <c r="AM32" i="5"/>
  <c r="AL31" i="5"/>
  <c r="AM30" i="5"/>
  <c r="AL29" i="5"/>
  <c r="AL28" i="5"/>
  <c r="AL26" i="5"/>
  <c r="AM19" i="5"/>
  <c r="AM17" i="5"/>
  <c r="AM16" i="5"/>
  <c r="AL15" i="5"/>
  <c r="AM14" i="5"/>
  <c r="AL62" i="5"/>
  <c r="AM55" i="5"/>
  <c r="AM53" i="5"/>
  <c r="AM52" i="5"/>
  <c r="AL51" i="5"/>
  <c r="AM50" i="5"/>
  <c r="AL49" i="5"/>
  <c r="AL48" i="5"/>
  <c r="AL46" i="5"/>
  <c r="AM39" i="5"/>
  <c r="AM37" i="5"/>
  <c r="AM36" i="5"/>
  <c r="AL35" i="5"/>
  <c r="AM34" i="5"/>
  <c r="AL33" i="5"/>
  <c r="AL32" i="5"/>
  <c r="AL30" i="5"/>
  <c r="AM23" i="5"/>
  <c r="AM21" i="5"/>
  <c r="AM20" i="5"/>
  <c r="AL19" i="5"/>
  <c r="AM18" i="5"/>
  <c r="AL17" i="5"/>
  <c r="AL16" i="5"/>
  <c r="AL14" i="5"/>
  <c r="AB16" i="5"/>
  <c r="AG16" i="5" s="1"/>
  <c r="AB32" i="5"/>
  <c r="AG32" i="5" s="1"/>
  <c r="AB25" i="5"/>
  <c r="AG25" i="5" s="1"/>
  <c r="AB24" i="5"/>
  <c r="AG24" i="5" s="1"/>
  <c r="AB31" i="5"/>
  <c r="AG31" i="5" s="1"/>
  <c r="AB17" i="5"/>
  <c r="AG17" i="5" s="1"/>
  <c r="AB23" i="5"/>
  <c r="AG23" i="5" s="1"/>
  <c r="AB33" i="5"/>
  <c r="AG33" i="5" s="1"/>
  <c r="AB40" i="5"/>
  <c r="AG40" i="5" s="1"/>
  <c r="AB27" i="5"/>
  <c r="AG27" i="5" s="1"/>
  <c r="AB35" i="5"/>
  <c r="AG35" i="5" s="1"/>
  <c r="AB46" i="5"/>
  <c r="AG46" i="5" s="1"/>
  <c r="AB60" i="5"/>
  <c r="AG60" i="5" s="1"/>
  <c r="AB50" i="5"/>
  <c r="AG50" i="5" s="1"/>
  <c r="AB57" i="5"/>
  <c r="AG57" i="5" s="1"/>
  <c r="AB63" i="5"/>
  <c r="AG63" i="5" s="1"/>
  <c r="AB22" i="5"/>
  <c r="AG22" i="5" s="1"/>
  <c r="AB37" i="5"/>
  <c r="AG37" i="5" s="1"/>
  <c r="AB62" i="5"/>
  <c r="AG62" i="5" s="1"/>
  <c r="AB41" i="5"/>
  <c r="AG41" i="5" s="1"/>
  <c r="G41" i="18"/>
  <c r="H41" i="18" s="1"/>
  <c r="G28" i="18"/>
  <c r="H28" i="18" s="1"/>
  <c r="G46" i="18"/>
  <c r="H46" i="18" s="1"/>
  <c r="G50" i="18"/>
  <c r="H50" i="18" s="1"/>
  <c r="G44" i="18"/>
  <c r="H44" i="18" s="1"/>
  <c r="G25" i="18"/>
  <c r="H25" i="18" s="1"/>
  <c r="G57" i="18"/>
  <c r="H57" i="18" s="1"/>
  <c r="G66" i="18"/>
  <c r="H66" i="18" s="1"/>
  <c r="G21" i="18"/>
  <c r="H21" i="18" s="1"/>
  <c r="G64" i="18"/>
  <c r="H64" i="18" s="1"/>
  <c r="G65" i="18"/>
  <c r="H65" i="18" s="1"/>
  <c r="G62" i="18"/>
  <c r="H62" i="18" s="1"/>
  <c r="G34" i="18"/>
  <c r="H34" i="18" s="1"/>
  <c r="AN7" i="5"/>
  <c r="AN14" i="6"/>
  <c r="AS14" i="6" s="1"/>
  <c r="AO14" i="6"/>
  <c r="AT14" i="6" s="1"/>
  <c r="AM14" i="6"/>
  <c r="AR14" i="6" s="1"/>
  <c r="AL4" i="7"/>
  <c r="AL11" i="7"/>
  <c r="AZ4" i="5"/>
  <c r="AX5" i="9"/>
  <c r="AX8" i="7"/>
  <c r="AX6" i="9"/>
  <c r="AZ5" i="5"/>
  <c r="AX9" i="7"/>
  <c r="G61" i="18"/>
  <c r="H61" i="18" s="1"/>
  <c r="AY12" i="7"/>
  <c r="BA8" i="5"/>
  <c r="J26" i="8"/>
  <c r="J24" i="8" s="1"/>
  <c r="G23" i="18"/>
  <c r="H23" i="18" s="1"/>
  <c r="G54" i="18"/>
  <c r="H54" i="18" s="1"/>
  <c r="G42" i="18"/>
  <c r="H42" i="18" s="1"/>
  <c r="G36" i="18"/>
  <c r="H36" i="18" s="1"/>
  <c r="G38" i="18"/>
  <c r="H38" i="18" s="1"/>
  <c r="G24" i="18"/>
  <c r="H24" i="18" s="1"/>
  <c r="G53" i="18"/>
  <c r="H53" i="18" s="1"/>
  <c r="G43" i="18"/>
  <c r="H43" i="18" s="1"/>
  <c r="G18" i="18"/>
  <c r="H18" i="18" s="1"/>
  <c r="G33" i="18"/>
  <c r="H33" i="18" s="1"/>
  <c r="G59" i="18"/>
  <c r="H59" i="18" s="1"/>
  <c r="G19" i="18"/>
  <c r="H19" i="18" s="1"/>
  <c r="G32" i="18"/>
  <c r="H32" i="18" s="1"/>
  <c r="G52" i="18"/>
  <c r="H52" i="18" s="1"/>
  <c r="G40" i="18"/>
  <c r="H40" i="18" s="1"/>
  <c r="G26" i="18"/>
  <c r="H26" i="18" s="1"/>
  <c r="G58" i="18"/>
  <c r="H58" i="18" s="1"/>
  <c r="G17" i="18"/>
  <c r="H17" i="18" s="1"/>
  <c r="G27" i="18"/>
  <c r="H27" i="18" s="1"/>
  <c r="G20" i="18"/>
  <c r="H20" i="18" s="1"/>
  <c r="G22" i="18"/>
  <c r="H22" i="18" s="1"/>
  <c r="G56" i="18"/>
  <c r="H56" i="18" s="1"/>
  <c r="G37" i="18"/>
  <c r="H37" i="18" s="1"/>
  <c r="G35" i="18"/>
  <c r="H35" i="18" s="1"/>
  <c r="H48" i="1"/>
  <c r="H47" i="1"/>
  <c r="D48" i="1"/>
  <c r="D47" i="1"/>
  <c r="F47" i="1"/>
  <c r="H46" i="1"/>
  <c r="D45" i="1"/>
  <c r="D46" i="1"/>
  <c r="F46" i="1"/>
  <c r="F45" i="1"/>
  <c r="H45" i="1"/>
  <c r="AZ22" i="8" l="1"/>
  <c r="BA22" i="8" s="1"/>
  <c r="AZ23" i="8" s="1"/>
  <c r="BA23" i="8" s="1"/>
  <c r="BA21" i="8" s="1"/>
  <c r="AO15" i="6"/>
  <c r="AT15" i="6" s="1"/>
  <c r="AN15" i="6"/>
  <c r="AS15" i="6" s="1"/>
  <c r="AM15" i="6"/>
  <c r="AR15" i="6" s="1"/>
  <c r="AX8" i="10"/>
  <c r="AD56" i="5"/>
  <c r="AE56" i="5" s="1"/>
  <c r="AA15" i="7"/>
  <c r="AA11" i="6"/>
  <c r="AF11" i="6" s="1"/>
  <c r="AB11" i="6"/>
  <c r="AG11" i="6" s="1"/>
  <c r="AC11" i="6"/>
  <c r="AH11" i="6" s="1"/>
  <c r="AD18" i="5"/>
  <c r="AE18" i="5" s="1"/>
  <c r="AD34" i="5"/>
  <c r="AE34" i="5" s="1"/>
  <c r="AD19" i="5"/>
  <c r="AE19" i="5" s="1"/>
  <c r="AD26" i="5"/>
  <c r="AE26" i="5" s="1"/>
  <c r="AD42" i="5"/>
  <c r="AE42" i="5" s="1"/>
  <c r="AD49" i="5"/>
  <c r="AE49" i="5" s="1"/>
  <c r="AD43" i="5"/>
  <c r="AE43" i="5" s="1"/>
  <c r="AH2" i="5"/>
  <c r="AF3" i="5" s="1"/>
  <c r="AD14" i="5"/>
  <c r="AE14" i="5" s="1"/>
  <c r="AD58" i="5"/>
  <c r="AE58" i="5" s="1"/>
  <c r="AD15" i="5"/>
  <c r="AE15" i="5" s="1"/>
  <c r="AC15" i="7"/>
  <c r="AN25" i="5"/>
  <c r="AS25" i="5" s="1"/>
  <c r="AT25" i="5" s="1"/>
  <c r="AU25" i="5" s="1"/>
  <c r="AN41" i="5"/>
  <c r="AS41" i="5" s="1"/>
  <c r="AT41" i="5" s="1"/>
  <c r="AU41" i="5" s="1"/>
  <c r="AN57" i="5"/>
  <c r="AS57" i="5" s="1"/>
  <c r="AT57" i="5" s="1"/>
  <c r="AU57" i="5" s="1"/>
  <c r="AB15" i="7"/>
  <c r="AN24" i="5"/>
  <c r="AS24" i="5" s="1"/>
  <c r="AT24" i="5" s="1"/>
  <c r="AU24" i="5" s="1"/>
  <c r="AN40" i="5"/>
  <c r="AS40" i="5" s="1"/>
  <c r="AT40" i="5" s="1"/>
  <c r="AU40" i="5" s="1"/>
  <c r="AN56" i="5"/>
  <c r="AS56" i="5" s="1"/>
  <c r="AT56" i="5" s="1"/>
  <c r="AU56" i="5" s="1"/>
  <c r="BA21" i="7"/>
  <c r="AZ21" i="7"/>
  <c r="AY21" i="7"/>
  <c r="AN23" i="7"/>
  <c r="AN14" i="7" s="1"/>
  <c r="AM22" i="7"/>
  <c r="AM14" i="7" s="1"/>
  <c r="AO24" i="7"/>
  <c r="AO14" i="7" s="1"/>
  <c r="W13" i="5"/>
  <c r="W12" i="5" s="1"/>
  <c r="S13" i="5"/>
  <c r="S12" i="5" s="1"/>
  <c r="T2" i="5"/>
  <c r="AN16" i="5"/>
  <c r="AP16" i="5" s="1"/>
  <c r="AQ16" i="5" s="1"/>
  <c r="AN32" i="5"/>
  <c r="AS32" i="5" s="1"/>
  <c r="AT32" i="5" s="1"/>
  <c r="AU32" i="5" s="1"/>
  <c r="AN48" i="5"/>
  <c r="AD62" i="5"/>
  <c r="AE62" i="5" s="1"/>
  <c r="AH62" i="5"/>
  <c r="AI62" i="5" s="1"/>
  <c r="AD35" i="5"/>
  <c r="AE35" i="5" s="1"/>
  <c r="AH35" i="5"/>
  <c r="AI35" i="5" s="1"/>
  <c r="AD25" i="5"/>
  <c r="AE25" i="5" s="1"/>
  <c r="AH25" i="5"/>
  <c r="AI25" i="5" s="1"/>
  <c r="AD29" i="5"/>
  <c r="AE29" i="5" s="1"/>
  <c r="AH29" i="5"/>
  <c r="AI29" i="5" s="1"/>
  <c r="AD54" i="5"/>
  <c r="AE54" i="5" s="1"/>
  <c r="AH54" i="5"/>
  <c r="AI54" i="5" s="1"/>
  <c r="AD37" i="5"/>
  <c r="AE37" i="5" s="1"/>
  <c r="AH37" i="5"/>
  <c r="AI37" i="5" s="1"/>
  <c r="AD50" i="5"/>
  <c r="AE50" i="5" s="1"/>
  <c r="AH50" i="5"/>
  <c r="AI50" i="5" s="1"/>
  <c r="AD27" i="5"/>
  <c r="AE27" i="5" s="1"/>
  <c r="AH27" i="5"/>
  <c r="AI27" i="5" s="1"/>
  <c r="AD17" i="5"/>
  <c r="AE17" i="5" s="1"/>
  <c r="AH17" i="5"/>
  <c r="AI17" i="5" s="1"/>
  <c r="AD32" i="5"/>
  <c r="AE32" i="5" s="1"/>
  <c r="AH32" i="5"/>
  <c r="AI32" i="5" s="1"/>
  <c r="AN15" i="5"/>
  <c r="AS15" i="5" s="1"/>
  <c r="AN26" i="5"/>
  <c r="AS26" i="5" s="1"/>
  <c r="AN31" i="5"/>
  <c r="AS31" i="5" s="1"/>
  <c r="AN42" i="5"/>
  <c r="AS42" i="5" s="1"/>
  <c r="AN47" i="5"/>
  <c r="AS47" i="5" s="1"/>
  <c r="AN58" i="5"/>
  <c r="AS58" i="5" s="1"/>
  <c r="AN63" i="5"/>
  <c r="AS63" i="5" s="1"/>
  <c r="AD53" i="5"/>
  <c r="AE53" i="5" s="1"/>
  <c r="AH53" i="5"/>
  <c r="AI53" i="5" s="1"/>
  <c r="AD39" i="5"/>
  <c r="AE39" i="5" s="1"/>
  <c r="AH39" i="5"/>
  <c r="AI39" i="5" s="1"/>
  <c r="AD61" i="5"/>
  <c r="AE61" i="5" s="1"/>
  <c r="AH61" i="5"/>
  <c r="AI61" i="5" s="1"/>
  <c r="AD36" i="5"/>
  <c r="AE36" i="5" s="1"/>
  <c r="AH36" i="5"/>
  <c r="AI36" i="5" s="1"/>
  <c r="AD57" i="5"/>
  <c r="AE57" i="5" s="1"/>
  <c r="AH57" i="5"/>
  <c r="AI57" i="5" s="1"/>
  <c r="AD23" i="5"/>
  <c r="AE23" i="5" s="1"/>
  <c r="AH23" i="5"/>
  <c r="AI23" i="5" s="1"/>
  <c r="AD48" i="5"/>
  <c r="AE48" i="5" s="1"/>
  <c r="AH48" i="5"/>
  <c r="AI48" i="5" s="1"/>
  <c r="AD22" i="5"/>
  <c r="AE22" i="5" s="1"/>
  <c r="AH22" i="5"/>
  <c r="AI22" i="5" s="1"/>
  <c r="AD60" i="5"/>
  <c r="AE60" i="5" s="1"/>
  <c r="AH60" i="5"/>
  <c r="AI60" i="5" s="1"/>
  <c r="AD40" i="5"/>
  <c r="AE40" i="5" s="1"/>
  <c r="AH40" i="5"/>
  <c r="AI40" i="5" s="1"/>
  <c r="AD31" i="5"/>
  <c r="AE31" i="5" s="1"/>
  <c r="AH31" i="5"/>
  <c r="AI31" i="5" s="1"/>
  <c r="AD16" i="5"/>
  <c r="AE16" i="5" s="1"/>
  <c r="AH16" i="5"/>
  <c r="AI16" i="5" s="1"/>
  <c r="AD28" i="5"/>
  <c r="AE28" i="5" s="1"/>
  <c r="AH28" i="5"/>
  <c r="AI28" i="5" s="1"/>
  <c r="AD20" i="5"/>
  <c r="AE20" i="5" s="1"/>
  <c r="AH20" i="5"/>
  <c r="AI20" i="5" s="1"/>
  <c r="AD45" i="5"/>
  <c r="AE45" i="5" s="1"/>
  <c r="AH45" i="5"/>
  <c r="AI45" i="5" s="1"/>
  <c r="AD41" i="5"/>
  <c r="AE41" i="5" s="1"/>
  <c r="AH41" i="5"/>
  <c r="AI41" i="5" s="1"/>
  <c r="AD63" i="5"/>
  <c r="AE63" i="5" s="1"/>
  <c r="AH63" i="5"/>
  <c r="AI63" i="5" s="1"/>
  <c r="AD46" i="5"/>
  <c r="AE46" i="5" s="1"/>
  <c r="AH46" i="5"/>
  <c r="AI46" i="5" s="1"/>
  <c r="AD33" i="5"/>
  <c r="AE33" i="5" s="1"/>
  <c r="AH33" i="5"/>
  <c r="AI33" i="5" s="1"/>
  <c r="AD24" i="5"/>
  <c r="AE24" i="5" s="1"/>
  <c r="AH24" i="5"/>
  <c r="AI24" i="5" s="1"/>
  <c r="AN22" i="5"/>
  <c r="AS22" i="5" s="1"/>
  <c r="AN27" i="5"/>
  <c r="AS27" i="5" s="1"/>
  <c r="AN38" i="5"/>
  <c r="AS38" i="5" s="1"/>
  <c r="AN43" i="5"/>
  <c r="AS43" i="5" s="1"/>
  <c r="AN54" i="5"/>
  <c r="AS54" i="5" s="1"/>
  <c r="AN59" i="5"/>
  <c r="AS59" i="5" s="1"/>
  <c r="AD59" i="5"/>
  <c r="AE59" i="5" s="1"/>
  <c r="AH59" i="5"/>
  <c r="AI59" i="5" s="1"/>
  <c r="AD55" i="5"/>
  <c r="AE55" i="5" s="1"/>
  <c r="AH55" i="5"/>
  <c r="AI55" i="5" s="1"/>
  <c r="AD51" i="5"/>
  <c r="AE51" i="5" s="1"/>
  <c r="AH51" i="5"/>
  <c r="AI51" i="5" s="1"/>
  <c r="AD47" i="5"/>
  <c r="AE47" i="5" s="1"/>
  <c r="AH47" i="5"/>
  <c r="AI47" i="5" s="1"/>
  <c r="AD21" i="5"/>
  <c r="AE21" i="5" s="1"/>
  <c r="AH21" i="5"/>
  <c r="AI21" i="5" s="1"/>
  <c r="AD52" i="5"/>
  <c r="AE52" i="5" s="1"/>
  <c r="AH52" i="5"/>
  <c r="AI52" i="5" s="1"/>
  <c r="AN45" i="5"/>
  <c r="AS45" i="5" s="1"/>
  <c r="AN61" i="5"/>
  <c r="AS61" i="5" s="1"/>
  <c r="AN17" i="5"/>
  <c r="AS17" i="5" s="1"/>
  <c r="AN33" i="5"/>
  <c r="AS33" i="5" s="1"/>
  <c r="AN49" i="5"/>
  <c r="AS49" i="5" s="1"/>
  <c r="H3" i="5"/>
  <c r="E23" i="3" s="1"/>
  <c r="H2" i="5"/>
  <c r="AN20" i="5"/>
  <c r="AS20" i="5" s="1"/>
  <c r="AN21" i="5"/>
  <c r="AS21" i="5" s="1"/>
  <c r="AN37" i="5"/>
  <c r="AS37" i="5" s="1"/>
  <c r="AN53" i="5"/>
  <c r="AS53" i="5" s="1"/>
  <c r="AN36" i="5"/>
  <c r="AS36" i="5" s="1"/>
  <c r="AN52" i="5"/>
  <c r="AS52" i="5" s="1"/>
  <c r="AN28" i="5"/>
  <c r="AS28" i="5" s="1"/>
  <c r="AN44" i="5"/>
  <c r="AS44" i="5" s="1"/>
  <c r="AN60" i="5"/>
  <c r="AS60" i="5" s="1"/>
  <c r="AY61" i="5"/>
  <c r="AX60" i="5"/>
  <c r="AY56" i="5"/>
  <c r="AX55" i="5"/>
  <c r="AY54" i="5"/>
  <c r="AX53" i="5"/>
  <c r="AX52" i="5"/>
  <c r="AY48" i="5"/>
  <c r="AX47" i="5"/>
  <c r="AX46" i="5"/>
  <c r="AY43" i="5"/>
  <c r="AY42" i="5"/>
  <c r="AX41" i="5"/>
  <c r="AY35" i="5"/>
  <c r="AY34" i="5"/>
  <c r="AX33" i="5"/>
  <c r="AY29" i="5"/>
  <c r="AX28" i="5"/>
  <c r="AY24" i="5"/>
  <c r="AX23" i="5"/>
  <c r="AY22" i="5"/>
  <c r="AX21" i="5"/>
  <c r="AX20" i="5"/>
  <c r="AY63" i="5"/>
  <c r="AY62" i="5"/>
  <c r="AX61" i="5"/>
  <c r="AY57" i="5"/>
  <c r="AX56" i="5"/>
  <c r="AX54" i="5"/>
  <c r="AY49" i="5"/>
  <c r="AX48" i="5"/>
  <c r="AY44" i="5"/>
  <c r="AX43" i="5"/>
  <c r="AX42" i="5"/>
  <c r="AY39" i="5"/>
  <c r="AY37" i="5"/>
  <c r="AY36" i="5"/>
  <c r="AX35" i="5"/>
  <c r="AX34" i="5"/>
  <c r="AY31" i="5"/>
  <c r="AY30" i="5"/>
  <c r="AX29" i="5"/>
  <c r="AY25" i="5"/>
  <c r="AX24" i="5"/>
  <c r="AX22" i="5"/>
  <c r="AY17" i="5"/>
  <c r="AX16" i="5"/>
  <c r="AX63" i="5"/>
  <c r="AZ63" i="5" s="1"/>
  <c r="BE63" i="5" s="1"/>
  <c r="AX62" i="5"/>
  <c r="AZ62" i="5" s="1"/>
  <c r="BE62" i="5" s="1"/>
  <c r="AY59" i="5"/>
  <c r="AY58" i="5"/>
  <c r="AX57" i="5"/>
  <c r="AY51" i="5"/>
  <c r="AY50" i="5"/>
  <c r="AX49" i="5"/>
  <c r="AY45" i="5"/>
  <c r="AX44" i="5"/>
  <c r="AY40" i="5"/>
  <c r="AX39" i="5"/>
  <c r="AY38" i="5"/>
  <c r="AX37" i="5"/>
  <c r="AX36" i="5"/>
  <c r="AY32" i="5"/>
  <c r="AX31" i="5"/>
  <c r="AX30" i="5"/>
  <c r="AY27" i="5"/>
  <c r="AY26" i="5"/>
  <c r="AX25" i="5"/>
  <c r="AY60" i="5"/>
  <c r="AX59" i="5"/>
  <c r="AX58" i="5"/>
  <c r="AY55" i="5"/>
  <c r="AY53" i="5"/>
  <c r="AY52" i="5"/>
  <c r="AX51" i="5"/>
  <c r="AX50" i="5"/>
  <c r="AY47" i="5"/>
  <c r="AX45" i="5"/>
  <c r="AX40" i="5"/>
  <c r="AX38" i="5"/>
  <c r="AY33" i="5"/>
  <c r="AX19" i="5"/>
  <c r="AX27" i="5"/>
  <c r="AY20" i="5"/>
  <c r="AX17" i="5"/>
  <c r="AY15" i="5"/>
  <c r="AY14" i="5"/>
  <c r="AY46" i="5"/>
  <c r="AY41" i="5"/>
  <c r="AX32" i="5"/>
  <c r="AY18" i="5"/>
  <c r="AX15" i="5"/>
  <c r="AX14" i="5"/>
  <c r="AY28" i="5"/>
  <c r="AX26" i="5"/>
  <c r="AY23" i="5"/>
  <c r="AY21" i="5"/>
  <c r="AY19" i="5"/>
  <c r="AX18" i="5"/>
  <c r="AY16" i="5"/>
  <c r="AN14" i="5"/>
  <c r="AN19" i="5"/>
  <c r="AS19" i="5" s="1"/>
  <c r="AN30" i="5"/>
  <c r="AS30" i="5" s="1"/>
  <c r="AN35" i="5"/>
  <c r="AS35" i="5" s="1"/>
  <c r="AN46" i="5"/>
  <c r="AS46" i="5" s="1"/>
  <c r="AN51" i="5"/>
  <c r="AS51" i="5" s="1"/>
  <c r="AN62" i="5"/>
  <c r="AS62" i="5" s="1"/>
  <c r="AN29" i="5"/>
  <c r="AS29" i="5" s="1"/>
  <c r="AN18" i="5"/>
  <c r="AS18" i="5" s="1"/>
  <c r="AN23" i="5"/>
  <c r="AS23" i="5" s="1"/>
  <c r="AN34" i="5"/>
  <c r="AS34" i="5" s="1"/>
  <c r="AN39" i="5"/>
  <c r="AS39" i="5" s="1"/>
  <c r="AN50" i="5"/>
  <c r="AS50" i="5" s="1"/>
  <c r="AN55" i="5"/>
  <c r="AS55" i="5" s="1"/>
  <c r="AZ14" i="6"/>
  <c r="BE14" i="6" s="1"/>
  <c r="BA14" i="6"/>
  <c r="BF14" i="6" s="1"/>
  <c r="AY14" i="6"/>
  <c r="BD14" i="6" s="1"/>
  <c r="AZ7" i="5"/>
  <c r="AX4" i="7"/>
  <c r="AX11" i="7"/>
  <c r="H16" i="18"/>
  <c r="H15" i="18" s="1"/>
  <c r="D20" i="1"/>
  <c r="AZ34" i="5" l="1"/>
  <c r="BE34" i="5" s="1"/>
  <c r="BF34" i="5" s="1"/>
  <c r="BG34" i="5" s="1"/>
  <c r="AY15" i="6"/>
  <c r="BD15" i="6" s="1"/>
  <c r="BA15" i="6"/>
  <c r="BF15" i="6" s="1"/>
  <c r="AZ15" i="6"/>
  <c r="BE15" i="6" s="1"/>
  <c r="AZ54" i="5"/>
  <c r="BE54" i="5" s="1"/>
  <c r="BF54" i="5" s="1"/>
  <c r="BG54" i="5" s="1"/>
  <c r="AZ22" i="5"/>
  <c r="BE22" i="5" s="1"/>
  <c r="BF22" i="5" s="1"/>
  <c r="BG22" i="5" s="1"/>
  <c r="AZ30" i="5"/>
  <c r="BE30" i="5" s="1"/>
  <c r="BF30" i="5" s="1"/>
  <c r="BG30" i="5" s="1"/>
  <c r="AO11" i="6"/>
  <c r="AT11" i="6" s="1"/>
  <c r="AM11" i="6"/>
  <c r="AR11" i="6" s="1"/>
  <c r="AN11" i="6"/>
  <c r="AS11" i="6" s="1"/>
  <c r="AF2" i="5"/>
  <c r="AZ19" i="5"/>
  <c r="BE19" i="5" s="1"/>
  <c r="BF19" i="5" s="1"/>
  <c r="BG19" i="5" s="1"/>
  <c r="AP25" i="5"/>
  <c r="AQ25" i="5" s="1"/>
  <c r="AP41" i="5"/>
  <c r="AQ41" i="5" s="1"/>
  <c r="AZ47" i="5"/>
  <c r="BE47" i="5" s="1"/>
  <c r="BF47" i="5" s="1"/>
  <c r="BG47" i="5" s="1"/>
  <c r="AP40" i="5"/>
  <c r="AQ40" i="5" s="1"/>
  <c r="AP32" i="5"/>
  <c r="AQ32" i="5" s="1"/>
  <c r="AP24" i="5"/>
  <c r="AQ24" i="5" s="1"/>
  <c r="AZ18" i="5"/>
  <c r="BE18" i="5" s="1"/>
  <c r="BF18" i="5" s="1"/>
  <c r="BG18" i="5" s="1"/>
  <c r="AP56" i="5"/>
  <c r="AQ56" i="5" s="1"/>
  <c r="AP57" i="5"/>
  <c r="AQ57" i="5" s="1"/>
  <c r="AN15" i="7"/>
  <c r="AZ38" i="5"/>
  <c r="BE38" i="5" s="1"/>
  <c r="BF38" i="5" s="1"/>
  <c r="BG38" i="5" s="1"/>
  <c r="AZ23" i="5"/>
  <c r="BE23" i="5" s="1"/>
  <c r="BF23" i="5" s="1"/>
  <c r="BG23" i="5" s="1"/>
  <c r="AZ55" i="5"/>
  <c r="BE55" i="5" s="1"/>
  <c r="BF55" i="5" s="1"/>
  <c r="BG55" i="5" s="1"/>
  <c r="AZ26" i="5"/>
  <c r="BE26" i="5" s="1"/>
  <c r="BF26" i="5" s="1"/>
  <c r="BG26" i="5" s="1"/>
  <c r="AZ58" i="5"/>
  <c r="BE58" i="5" s="1"/>
  <c r="BF58" i="5" s="1"/>
  <c r="BG58" i="5" s="1"/>
  <c r="AO15" i="7"/>
  <c r="AM15" i="7"/>
  <c r="AY22" i="7"/>
  <c r="AY14" i="7" s="1"/>
  <c r="BA24" i="7"/>
  <c r="BA14" i="7" s="1"/>
  <c r="AZ23" i="7"/>
  <c r="AZ14" i="7" s="1"/>
  <c r="AS48" i="5"/>
  <c r="AT48" i="5" s="1"/>
  <c r="AU48" i="5" s="1"/>
  <c r="AS16" i="5"/>
  <c r="AT16" i="5" s="1"/>
  <c r="AU16" i="5" s="1"/>
  <c r="AS14" i="5"/>
  <c r="AT14" i="5" s="1"/>
  <c r="AU14" i="5" s="1"/>
  <c r="AP48" i="5"/>
  <c r="AQ48" i="5" s="1"/>
  <c r="O19" i="12"/>
  <c r="C19" i="12"/>
  <c r="P11" i="5"/>
  <c r="AE13" i="5"/>
  <c r="AI13" i="5"/>
  <c r="AI12" i="5" s="1"/>
  <c r="AP23" i="5"/>
  <c r="AQ23" i="5" s="1"/>
  <c r="AT23" i="5"/>
  <c r="AU23" i="5" s="1"/>
  <c r="AP19" i="5"/>
  <c r="AQ19" i="5" s="1"/>
  <c r="AT19" i="5"/>
  <c r="AU19" i="5" s="1"/>
  <c r="AP31" i="5"/>
  <c r="AQ31" i="5" s="1"/>
  <c r="AT31" i="5"/>
  <c r="AU31" i="5" s="1"/>
  <c r="AP49" i="5"/>
  <c r="AQ49" i="5" s="1"/>
  <c r="AT49" i="5"/>
  <c r="AU49" i="5" s="1"/>
  <c r="AP54" i="5"/>
  <c r="AQ54" i="5" s="1"/>
  <c r="AT54" i="5"/>
  <c r="AU54" i="5" s="1"/>
  <c r="AP22" i="5"/>
  <c r="AQ22" i="5" s="1"/>
  <c r="AT22" i="5"/>
  <c r="AU22" i="5" s="1"/>
  <c r="AP58" i="5"/>
  <c r="AQ58" i="5" s="1"/>
  <c r="AT58" i="5"/>
  <c r="AU58" i="5" s="1"/>
  <c r="AP26" i="5"/>
  <c r="AQ26" i="5" s="1"/>
  <c r="AT26" i="5"/>
  <c r="AU26" i="5" s="1"/>
  <c r="AP55" i="5"/>
  <c r="AQ55" i="5" s="1"/>
  <c r="AT55" i="5"/>
  <c r="AU55" i="5" s="1"/>
  <c r="AP51" i="5"/>
  <c r="AQ51" i="5" s="1"/>
  <c r="AT51" i="5"/>
  <c r="AU51" i="5" s="1"/>
  <c r="AP50" i="5"/>
  <c r="AQ50" i="5" s="1"/>
  <c r="AT50" i="5"/>
  <c r="AU50" i="5" s="1"/>
  <c r="AP18" i="5"/>
  <c r="AQ18" i="5" s="1"/>
  <c r="AT18" i="5"/>
  <c r="AU18" i="5" s="1"/>
  <c r="AP52" i="5"/>
  <c r="AQ52" i="5" s="1"/>
  <c r="AT52" i="5"/>
  <c r="AU52" i="5" s="1"/>
  <c r="AP29" i="5"/>
  <c r="AQ29" i="5" s="1"/>
  <c r="AT29" i="5"/>
  <c r="AU29" i="5" s="1"/>
  <c r="AP60" i="5"/>
  <c r="AQ60" i="5" s="1"/>
  <c r="AT60" i="5"/>
  <c r="AU60" i="5" s="1"/>
  <c r="AP36" i="5"/>
  <c r="AQ36" i="5" s="1"/>
  <c r="AT36" i="5"/>
  <c r="AU36" i="5" s="1"/>
  <c r="AP20" i="5"/>
  <c r="AQ20" i="5" s="1"/>
  <c r="AT20" i="5"/>
  <c r="AU20" i="5" s="1"/>
  <c r="AP33" i="5"/>
  <c r="AQ33" i="5" s="1"/>
  <c r="AT33" i="5"/>
  <c r="AU33" i="5" s="1"/>
  <c r="AP61" i="5"/>
  <c r="AQ61" i="5" s="1"/>
  <c r="AT61" i="5"/>
  <c r="AU61" i="5" s="1"/>
  <c r="AP43" i="5"/>
  <c r="AQ43" i="5" s="1"/>
  <c r="AT43" i="5"/>
  <c r="AU43" i="5" s="1"/>
  <c r="AP47" i="5"/>
  <c r="AQ47" i="5" s="1"/>
  <c r="AT47" i="5"/>
  <c r="AU47" i="5" s="1"/>
  <c r="AP15" i="5"/>
  <c r="AQ15" i="5" s="1"/>
  <c r="AT15" i="5"/>
  <c r="AU15" i="5" s="1"/>
  <c r="AP28" i="5"/>
  <c r="AQ28" i="5" s="1"/>
  <c r="AT28" i="5"/>
  <c r="AU28" i="5" s="1"/>
  <c r="AP37" i="5"/>
  <c r="AQ37" i="5" s="1"/>
  <c r="AT37" i="5"/>
  <c r="AU37" i="5" s="1"/>
  <c r="AP59" i="5"/>
  <c r="AQ59" i="5" s="1"/>
  <c r="AT59" i="5"/>
  <c r="AU59" i="5" s="1"/>
  <c r="AP27" i="5"/>
  <c r="AQ27" i="5" s="1"/>
  <c r="AT27" i="5"/>
  <c r="AU27" i="5" s="1"/>
  <c r="AP63" i="5"/>
  <c r="AQ63" i="5" s="1"/>
  <c r="AT63" i="5"/>
  <c r="AU63" i="5" s="1"/>
  <c r="AP46" i="5"/>
  <c r="AQ46" i="5" s="1"/>
  <c r="AT46" i="5"/>
  <c r="AU46" i="5" s="1"/>
  <c r="BB62" i="5"/>
  <c r="BC62" i="5" s="1"/>
  <c r="BF62" i="5"/>
  <c r="BG62" i="5" s="1"/>
  <c r="AP21" i="5"/>
  <c r="AQ21" i="5" s="1"/>
  <c r="AT21" i="5"/>
  <c r="AU21" i="5" s="1"/>
  <c r="AP39" i="5"/>
  <c r="AQ39" i="5" s="1"/>
  <c r="AT39" i="5"/>
  <c r="AU39" i="5" s="1"/>
  <c r="AP35" i="5"/>
  <c r="AQ35" i="5" s="1"/>
  <c r="AT35" i="5"/>
  <c r="AU35" i="5" s="1"/>
  <c r="BB63" i="5"/>
  <c r="BC63" i="5" s="1"/>
  <c r="BF63" i="5"/>
  <c r="BG63" i="5" s="1"/>
  <c r="AP34" i="5"/>
  <c r="AQ34" i="5" s="1"/>
  <c r="AT34" i="5"/>
  <c r="AU34" i="5" s="1"/>
  <c r="AP62" i="5"/>
  <c r="AQ62" i="5" s="1"/>
  <c r="AT62" i="5"/>
  <c r="AU62" i="5" s="1"/>
  <c r="AP30" i="5"/>
  <c r="AQ30" i="5" s="1"/>
  <c r="AT30" i="5"/>
  <c r="AU30" i="5" s="1"/>
  <c r="AZ43" i="5"/>
  <c r="BE43" i="5" s="1"/>
  <c r="AP44" i="5"/>
  <c r="AQ44" i="5" s="1"/>
  <c r="AT44" i="5"/>
  <c r="AU44" i="5" s="1"/>
  <c r="AP53" i="5"/>
  <c r="AQ53" i="5" s="1"/>
  <c r="AT53" i="5"/>
  <c r="AU53" i="5" s="1"/>
  <c r="AP17" i="5"/>
  <c r="AQ17" i="5" s="1"/>
  <c r="AT17" i="5"/>
  <c r="AU17" i="5" s="1"/>
  <c r="AP45" i="5"/>
  <c r="AQ45" i="5" s="1"/>
  <c r="AT45" i="5"/>
  <c r="AU45" i="5" s="1"/>
  <c r="AP38" i="5"/>
  <c r="AQ38" i="5" s="1"/>
  <c r="AT38" i="5"/>
  <c r="AU38" i="5" s="1"/>
  <c r="AP42" i="5"/>
  <c r="AQ42" i="5" s="1"/>
  <c r="AT42" i="5"/>
  <c r="AU42" i="5" s="1"/>
  <c r="AZ36" i="5"/>
  <c r="BE36" i="5" s="1"/>
  <c r="AZ29" i="5"/>
  <c r="BE29" i="5" s="1"/>
  <c r="AZ61" i="5"/>
  <c r="BE61" i="5" s="1"/>
  <c r="AZ40" i="5"/>
  <c r="BE40" i="5" s="1"/>
  <c r="AZ49" i="5"/>
  <c r="BE49" i="5" s="1"/>
  <c r="AZ16" i="5"/>
  <c r="BE16" i="5" s="1"/>
  <c r="AZ48" i="5"/>
  <c r="BE48" i="5" s="1"/>
  <c r="AZ20" i="5"/>
  <c r="BE20" i="5" s="1"/>
  <c r="D23" i="3"/>
  <c r="AZ15" i="5"/>
  <c r="BE15" i="5" s="1"/>
  <c r="AZ45" i="5"/>
  <c r="BE45" i="5" s="1"/>
  <c r="AZ42" i="5"/>
  <c r="BE42" i="5" s="1"/>
  <c r="AP14" i="5"/>
  <c r="AQ14" i="5" s="1"/>
  <c r="AT2" i="5"/>
  <c r="AZ37" i="5"/>
  <c r="BE37" i="5" s="1"/>
  <c r="AZ44" i="5"/>
  <c r="BE44" i="5" s="1"/>
  <c r="AZ21" i="5"/>
  <c r="BE21" i="5" s="1"/>
  <c r="AZ46" i="5"/>
  <c r="BE46" i="5" s="1"/>
  <c r="AZ53" i="5"/>
  <c r="BE53" i="5" s="1"/>
  <c r="AZ60" i="5"/>
  <c r="BE60" i="5" s="1"/>
  <c r="AZ39" i="5"/>
  <c r="BE39" i="5" s="1"/>
  <c r="AZ52" i="5"/>
  <c r="BE52" i="5" s="1"/>
  <c r="AZ32" i="5"/>
  <c r="BE32" i="5" s="1"/>
  <c r="AZ27" i="5"/>
  <c r="BE27" i="5" s="1"/>
  <c r="AZ59" i="5"/>
  <c r="BE59" i="5" s="1"/>
  <c r="AZ51" i="5"/>
  <c r="BE51" i="5" s="1"/>
  <c r="AZ41" i="5"/>
  <c r="BE41" i="5" s="1"/>
  <c r="AZ28" i="5"/>
  <c r="BE28" i="5" s="1"/>
  <c r="AZ35" i="5"/>
  <c r="BE35" i="5" s="1"/>
  <c r="AZ14" i="5"/>
  <c r="AZ17" i="5"/>
  <c r="BE17" i="5" s="1"/>
  <c r="AZ50" i="5"/>
  <c r="BE50" i="5" s="1"/>
  <c r="AZ25" i="5"/>
  <c r="BE25" i="5" s="1"/>
  <c r="AZ57" i="5"/>
  <c r="BE57" i="5" s="1"/>
  <c r="AZ24" i="5"/>
  <c r="BE24" i="5" s="1"/>
  <c r="AZ31" i="5"/>
  <c r="BE31" i="5" s="1"/>
  <c r="AZ56" i="5"/>
  <c r="BE56" i="5" s="1"/>
  <c r="AZ33" i="5"/>
  <c r="BE33" i="5" s="1"/>
  <c r="C59" i="1"/>
  <c r="C58" i="1"/>
  <c r="H96" i="1"/>
  <c r="BB34" i="5" l="1"/>
  <c r="BC34" i="5" s="1"/>
  <c r="BB54" i="5"/>
  <c r="BC54" i="5" s="1"/>
  <c r="BB22" i="5"/>
  <c r="BC22" i="5" s="1"/>
  <c r="BB30" i="5"/>
  <c r="BC30" i="5" s="1"/>
  <c r="BB19" i="5"/>
  <c r="BC19" i="5" s="1"/>
  <c r="AZ11" i="6"/>
  <c r="BE11" i="6" s="1"/>
  <c r="BA11" i="6"/>
  <c r="BF11" i="6" s="1"/>
  <c r="AY11" i="6"/>
  <c r="BD11" i="6" s="1"/>
  <c r="O10" i="6"/>
  <c r="Q10" i="6"/>
  <c r="P10" i="6"/>
  <c r="BB47" i="5"/>
  <c r="BC47" i="5" s="1"/>
  <c r="BB23" i="5"/>
  <c r="BC23" i="5" s="1"/>
  <c r="BB18" i="5"/>
  <c r="BC18" i="5" s="1"/>
  <c r="BB38" i="5"/>
  <c r="BC38" i="5" s="1"/>
  <c r="BB58" i="5"/>
  <c r="BC58" i="5" s="1"/>
  <c r="AZ15" i="7"/>
  <c r="BB55" i="5"/>
  <c r="BC55" i="5" s="1"/>
  <c r="AY15" i="7"/>
  <c r="BB26" i="5"/>
  <c r="BC26" i="5" s="1"/>
  <c r="BA15" i="7"/>
  <c r="P10" i="5"/>
  <c r="BE14" i="5"/>
  <c r="BF14" i="5" s="1"/>
  <c r="BG14" i="5" s="1"/>
  <c r="AE12" i="5"/>
  <c r="AB11" i="5"/>
  <c r="AU13" i="5"/>
  <c r="AU12" i="5" s="1"/>
  <c r="BB50" i="5"/>
  <c r="BC50" i="5" s="1"/>
  <c r="BF50" i="5"/>
  <c r="BG50" i="5" s="1"/>
  <c r="BB37" i="5"/>
  <c r="BC37" i="5" s="1"/>
  <c r="BF37" i="5"/>
  <c r="BG37" i="5" s="1"/>
  <c r="BB20" i="5"/>
  <c r="BC20" i="5" s="1"/>
  <c r="BF20" i="5"/>
  <c r="BG20" i="5" s="1"/>
  <c r="BB49" i="5"/>
  <c r="BC49" i="5" s="1"/>
  <c r="BF49" i="5"/>
  <c r="BG49" i="5" s="1"/>
  <c r="BB36" i="5"/>
  <c r="BC36" i="5" s="1"/>
  <c r="BF36" i="5"/>
  <c r="BG36" i="5" s="1"/>
  <c r="BB24" i="5"/>
  <c r="BC24" i="5" s="1"/>
  <c r="BF24" i="5"/>
  <c r="BG24" i="5" s="1"/>
  <c r="BB17" i="5"/>
  <c r="BC17" i="5" s="1"/>
  <c r="BF17" i="5"/>
  <c r="BG17" i="5" s="1"/>
  <c r="BB41" i="5"/>
  <c r="BC41" i="5" s="1"/>
  <c r="BF41" i="5"/>
  <c r="BG41" i="5" s="1"/>
  <c r="BB32" i="5"/>
  <c r="BC32" i="5" s="1"/>
  <c r="BF32" i="5"/>
  <c r="BG32" i="5" s="1"/>
  <c r="BB53" i="5"/>
  <c r="BC53" i="5" s="1"/>
  <c r="BF53" i="5"/>
  <c r="BG53" i="5" s="1"/>
  <c r="BB15" i="5"/>
  <c r="BC15" i="5" s="1"/>
  <c r="BF15" i="5"/>
  <c r="BG15" i="5" s="1"/>
  <c r="BB48" i="5"/>
  <c r="BC48" i="5" s="1"/>
  <c r="BF48" i="5"/>
  <c r="BG48" i="5" s="1"/>
  <c r="BB40" i="5"/>
  <c r="BC40" i="5" s="1"/>
  <c r="BF40" i="5"/>
  <c r="BG40" i="5" s="1"/>
  <c r="BB28" i="5"/>
  <c r="BC28" i="5" s="1"/>
  <c r="BF28" i="5"/>
  <c r="BG28" i="5" s="1"/>
  <c r="BB51" i="5"/>
  <c r="BC51" i="5" s="1"/>
  <c r="BF51" i="5"/>
  <c r="BG51" i="5" s="1"/>
  <c r="BB52" i="5"/>
  <c r="BC52" i="5" s="1"/>
  <c r="BF52" i="5"/>
  <c r="BG52" i="5" s="1"/>
  <c r="BB46" i="5"/>
  <c r="BC46" i="5" s="1"/>
  <c r="BF46" i="5"/>
  <c r="BG46" i="5" s="1"/>
  <c r="AQ13" i="5"/>
  <c r="BB16" i="5"/>
  <c r="BC16" i="5" s="1"/>
  <c r="BF16" i="5"/>
  <c r="BG16" i="5" s="1"/>
  <c r="BB61" i="5"/>
  <c r="BC61" i="5" s="1"/>
  <c r="BF61" i="5"/>
  <c r="BG61" i="5" s="1"/>
  <c r="BB43" i="5"/>
  <c r="BC43" i="5" s="1"/>
  <c r="BF43" i="5"/>
  <c r="BG43" i="5" s="1"/>
  <c r="BB31" i="5"/>
  <c r="BC31" i="5" s="1"/>
  <c r="BF31" i="5"/>
  <c r="BG31" i="5" s="1"/>
  <c r="BB27" i="5"/>
  <c r="BC27" i="5" s="1"/>
  <c r="BF27" i="5"/>
  <c r="BG27" i="5" s="1"/>
  <c r="BB60" i="5"/>
  <c r="BC60" i="5" s="1"/>
  <c r="BF60" i="5"/>
  <c r="BG60" i="5" s="1"/>
  <c r="BB45" i="5"/>
  <c r="BC45" i="5" s="1"/>
  <c r="BF45" i="5"/>
  <c r="BG45" i="5" s="1"/>
  <c r="BB33" i="5"/>
  <c r="BC33" i="5" s="1"/>
  <c r="BF33" i="5"/>
  <c r="BG33" i="5" s="1"/>
  <c r="BB57" i="5"/>
  <c r="BC57" i="5" s="1"/>
  <c r="BF57" i="5"/>
  <c r="BG57" i="5" s="1"/>
  <c r="BB56" i="5"/>
  <c r="BC56" i="5" s="1"/>
  <c r="BF56" i="5"/>
  <c r="BG56" i="5" s="1"/>
  <c r="BB25" i="5"/>
  <c r="BC25" i="5" s="1"/>
  <c r="BF25" i="5"/>
  <c r="BG25" i="5" s="1"/>
  <c r="BB35" i="5"/>
  <c r="BC35" i="5" s="1"/>
  <c r="BF35" i="5"/>
  <c r="BG35" i="5" s="1"/>
  <c r="BB59" i="5"/>
  <c r="BC59" i="5" s="1"/>
  <c r="BF59" i="5"/>
  <c r="BG59" i="5" s="1"/>
  <c r="BB39" i="5"/>
  <c r="BC39" i="5" s="1"/>
  <c r="BF39" i="5"/>
  <c r="BG39" i="5" s="1"/>
  <c r="BB21" i="5"/>
  <c r="BC21" i="5" s="1"/>
  <c r="BF21" i="5"/>
  <c r="BG21" i="5" s="1"/>
  <c r="BB44" i="5"/>
  <c r="BC44" i="5" s="1"/>
  <c r="BF44" i="5"/>
  <c r="BG44" i="5" s="1"/>
  <c r="BB42" i="5"/>
  <c r="BC42" i="5" s="1"/>
  <c r="BF42" i="5"/>
  <c r="BG42" i="5" s="1"/>
  <c r="BB29" i="5"/>
  <c r="BC29" i="5" s="1"/>
  <c r="BF29" i="5"/>
  <c r="BG29" i="5" s="1"/>
  <c r="AR3" i="5"/>
  <c r="AR2" i="5"/>
  <c r="BB14" i="5"/>
  <c r="BC14" i="5" s="1"/>
  <c r="BF2" i="5"/>
  <c r="G52" i="1"/>
  <c r="AC10" i="6" l="1"/>
  <c r="AB10" i="6"/>
  <c r="AA10" i="6"/>
  <c r="U10" i="6"/>
  <c r="T10" i="6"/>
  <c r="V10" i="6"/>
  <c r="AB10" i="5"/>
  <c r="AN11" i="5"/>
  <c r="BG13" i="5"/>
  <c r="BG12" i="5" s="1"/>
  <c r="AQ12" i="5"/>
  <c r="BC13" i="5"/>
  <c r="BC12" i="5" s="1"/>
  <c r="BD3" i="5"/>
  <c r="BD2" i="5"/>
  <c r="K87" i="1"/>
  <c r="J87" i="1"/>
  <c r="F25" i="1"/>
  <c r="AO10" i="6" l="1"/>
  <c r="AM10" i="6"/>
  <c r="AN10" i="6"/>
  <c r="AN10" i="5"/>
  <c r="O13" i="6"/>
  <c r="P13" i="6"/>
  <c r="Q13" i="6"/>
  <c r="AF10" i="6"/>
  <c r="AH10" i="6"/>
  <c r="AG10" i="6"/>
  <c r="AZ11" i="5"/>
  <c r="C22" i="8"/>
  <c r="C24" i="1"/>
  <c r="C49" i="1" s="1"/>
  <c r="F23" i="1"/>
  <c r="F21" i="1"/>
  <c r="B22" i="8" l="1"/>
  <c r="BA10" i="6"/>
  <c r="AZ10" i="6"/>
  <c r="AY10" i="6"/>
  <c r="AT10" i="6"/>
  <c r="AR10" i="6"/>
  <c r="AS10" i="6"/>
  <c r="U13" i="6"/>
  <c r="T13" i="6"/>
  <c r="V13" i="6"/>
  <c r="AA13" i="6"/>
  <c r="AB13" i="6"/>
  <c r="AC13" i="6"/>
  <c r="AZ10" i="5"/>
  <c r="H25" i="1"/>
  <c r="D54" i="1"/>
  <c r="E54" i="1" s="1"/>
  <c r="B89" i="1"/>
  <c r="B90" i="1" s="1"/>
  <c r="G90" i="1" s="1"/>
  <c r="C23" i="1"/>
  <c r="H42" i="1" s="1"/>
  <c r="C21" i="1"/>
  <c r="D21" i="1" s="1"/>
  <c r="F22" i="1"/>
  <c r="G25" i="1" s="1"/>
  <c r="D22" i="8" l="1"/>
  <c r="E22" i="8" s="1"/>
  <c r="BD10" i="6"/>
  <c r="BE10" i="6"/>
  <c r="BF10" i="6"/>
  <c r="AG13" i="6"/>
  <c r="AF13" i="6"/>
  <c r="AH13" i="6"/>
  <c r="AM13" i="6"/>
  <c r="AO13" i="6"/>
  <c r="AN13" i="6"/>
  <c r="AY13" i="6"/>
  <c r="BD13" i="6" s="1"/>
  <c r="BA13" i="6"/>
  <c r="BF13" i="6" s="1"/>
  <c r="AZ13" i="6"/>
  <c r="BE13" i="6" s="1"/>
  <c r="D34" i="1"/>
  <c r="H34" i="1" s="1"/>
  <c r="J25" i="1"/>
  <c r="B91" i="1"/>
  <c r="D42" i="1"/>
  <c r="F42" i="1"/>
  <c r="D23" i="8" l="1"/>
  <c r="E23" i="8" s="1"/>
  <c r="E21" i="8" s="1"/>
  <c r="AR13" i="6"/>
  <c r="AT13" i="6"/>
  <c r="AS13" i="6"/>
  <c r="F34" i="1"/>
  <c r="J34" i="1"/>
  <c r="G91" i="1"/>
  <c r="H90" i="1"/>
  <c r="I90" i="1" s="1"/>
  <c r="B92" i="1"/>
  <c r="G81" i="1"/>
  <c r="F81" i="1"/>
  <c r="E81" i="1"/>
  <c r="C76" i="1"/>
  <c r="C25" i="1"/>
  <c r="D52" i="1" s="1"/>
  <c r="D13" i="6" l="1"/>
  <c r="I13" i="6" s="1"/>
  <c r="C13" i="6"/>
  <c r="H13" i="6" s="1"/>
  <c r="E13" i="6"/>
  <c r="J13" i="6" s="1"/>
  <c r="C81" i="1"/>
  <c r="C78" i="1"/>
  <c r="K34" i="1"/>
  <c r="G92" i="1"/>
  <c r="H91" i="1"/>
  <c r="I91" i="1" s="1"/>
  <c r="J91" i="1" s="1"/>
  <c r="K90" i="1"/>
  <c r="J90" i="1"/>
  <c r="B93" i="1"/>
  <c r="D60" i="1"/>
  <c r="E60" i="1" s="1"/>
  <c r="D61" i="1"/>
  <c r="D62" i="1"/>
  <c r="E62" i="1" s="1"/>
  <c r="K91" i="1" l="1"/>
  <c r="H92" i="1"/>
  <c r="I92" i="1" s="1"/>
  <c r="G93" i="1"/>
  <c r="B94" i="1"/>
  <c r="D55" i="1"/>
  <c r="E55" i="1" s="1"/>
  <c r="D56" i="1"/>
  <c r="E56" i="1" s="1"/>
  <c r="D53" i="1"/>
  <c r="E53" i="1" s="1"/>
  <c r="H41" i="1"/>
  <c r="H39" i="1"/>
  <c r="F41" i="1"/>
  <c r="F39" i="1"/>
  <c r="D41" i="1"/>
  <c r="D39" i="1"/>
  <c r="D32" i="1"/>
  <c r="H32" i="1" s="1"/>
  <c r="H93" i="1" l="1"/>
  <c r="I93" i="1" s="1"/>
  <c r="G94" i="1"/>
  <c r="J92" i="1"/>
  <c r="K92" i="1"/>
  <c r="B95" i="1"/>
  <c r="E52" i="1"/>
  <c r="J32" i="1"/>
  <c r="F32" i="1"/>
  <c r="C22" i="1"/>
  <c r="D22" i="1" s="1"/>
  <c r="G95" i="1" l="1"/>
  <c r="H94" i="1"/>
  <c r="I94" i="1" s="1"/>
  <c r="K93" i="1"/>
  <c r="J93" i="1"/>
  <c r="B96" i="1"/>
  <c r="K32" i="1"/>
  <c r="C26" i="1"/>
  <c r="D40" i="1" l="1"/>
  <c r="D37" i="1" s="1"/>
  <c r="D35" i="1"/>
  <c r="J35" i="1" s="1"/>
  <c r="C28" i="1"/>
  <c r="C29" i="1" s="1"/>
  <c r="G96" i="1"/>
  <c r="I96" i="1" s="1"/>
  <c r="H95" i="1"/>
  <c r="I95" i="1" s="1"/>
  <c r="J94" i="1"/>
  <c r="K94" i="1"/>
  <c r="H40" i="1"/>
  <c r="H37" i="1" s="1"/>
  <c r="F40" i="1"/>
  <c r="F37" i="1" s="1"/>
  <c r="D33" i="1"/>
  <c r="J33" i="1" s="1"/>
  <c r="H35" i="1" l="1"/>
  <c r="F35" i="1"/>
  <c r="J95" i="1"/>
  <c r="K95" i="1"/>
  <c r="K96" i="1"/>
  <c r="J96" i="1"/>
  <c r="F33" i="1"/>
  <c r="H33" i="1"/>
  <c r="E61" i="1"/>
  <c r="K35" i="1" l="1"/>
  <c r="K88" i="1"/>
  <c r="E59" i="1" s="1"/>
  <c r="J88" i="1"/>
  <c r="E58" i="1" s="1"/>
  <c r="K33" i="1"/>
  <c r="K31" i="1" l="1"/>
  <c r="E57" i="1"/>
  <c r="E64" i="1" s="1"/>
  <c r="E65" i="1" l="1"/>
  <c r="E63" i="1" s="1"/>
  <c r="F52" i="1" s="1"/>
  <c r="E68" i="1" s="1"/>
  <c r="E69" i="1" l="1"/>
  <c r="B15" i="1" s="1"/>
  <c r="B13" i="1"/>
  <c r="F68" i="1"/>
  <c r="F69" i="1" s="1"/>
  <c r="D15" i="1" s="1"/>
  <c r="G68" i="1"/>
  <c r="G13" i="1" s="1"/>
  <c r="E79" i="1" l="1"/>
  <c r="E80" i="1" s="1"/>
  <c r="G69" i="1"/>
  <c r="G15" i="1" s="1"/>
  <c r="D13" i="1"/>
  <c r="F79" i="1"/>
  <c r="F80" i="1" l="1"/>
  <c r="F82" i="1" s="1"/>
  <c r="F83" i="1" s="1"/>
  <c r="F84" i="1" s="1"/>
  <c r="F85" i="1" s="1"/>
  <c r="G79" i="1"/>
  <c r="G80" i="1" s="1"/>
  <c r="G82" i="1" s="1"/>
  <c r="G83" i="1" s="1"/>
  <c r="G84" i="1" s="1"/>
  <c r="G86" i="1" s="1"/>
  <c r="G11" i="1" s="1"/>
  <c r="F86" i="1" l="1"/>
  <c r="D11" i="1" s="1"/>
  <c r="G85" i="1"/>
  <c r="E82" i="1"/>
  <c r="E83" i="1" s="1"/>
  <c r="E84" i="1" s="1"/>
  <c r="D14" i="1" l="1"/>
  <c r="D16" i="1" s="1"/>
  <c r="D17" i="1" s="1"/>
  <c r="G14" i="1"/>
  <c r="G16" i="1" s="1"/>
  <c r="G17" i="1" s="1"/>
  <c r="E85" i="1"/>
  <c r="E86" i="1"/>
  <c r="B11" i="1" s="1"/>
  <c r="B14" i="1" l="1"/>
  <c r="B16" i="1" s="1"/>
  <c r="B17" i="1" s="1"/>
  <c r="G13" i="5"/>
  <c r="G12" i="5" s="1"/>
  <c r="K13" i="5"/>
  <c r="K12" i="5" s="1"/>
  <c r="D11" i="5" l="1"/>
  <c r="D10" i="6" l="1"/>
  <c r="E10" i="6"/>
  <c r="J10" i="6" s="1"/>
  <c r="C10" i="6"/>
  <c r="D10" i="5"/>
  <c r="I10" i="6" l="1"/>
  <c r="H10" i="6"/>
  <c r="C61" i="6"/>
  <c r="AY61" i="6"/>
  <c r="AA61" i="6"/>
  <c r="AC61" i="6"/>
  <c r="AO61" i="6"/>
  <c r="O61" i="6"/>
  <c r="AM61" i="6"/>
  <c r="BA61" i="6"/>
  <c r="Q61" i="6"/>
  <c r="E61" i="6"/>
  <c r="C65" i="6"/>
  <c r="C67" i="6"/>
  <c r="BA65" i="6"/>
  <c r="BA67" i="6"/>
  <c r="AY65" i="6"/>
  <c r="AY67" i="6"/>
  <c r="AM67" i="6"/>
  <c r="AM65" i="6"/>
  <c r="AO65" i="6"/>
  <c r="AO67" i="6"/>
  <c r="AA65" i="6"/>
  <c r="AA67" i="6"/>
  <c r="O65" i="6"/>
  <c r="O67" i="6"/>
  <c r="Q65" i="6"/>
  <c r="Q67" i="6"/>
  <c r="AC65" i="6"/>
  <c r="AC67" i="6"/>
  <c r="E14" i="8"/>
  <c r="D12" i="6" s="1"/>
  <c r="BA14" i="8"/>
  <c r="AZ12" i="6" s="1"/>
  <c r="AZ17" i="6" s="1"/>
  <c r="AZ64" i="6" s="1"/>
  <c r="AZ65" i="6" s="1"/>
  <c r="AX65" i="6" s="1"/>
  <c r="AC14" i="8"/>
  <c r="AB12" i="6" s="1"/>
  <c r="Q14" i="8"/>
  <c r="R14" i="8" s="1"/>
  <c r="AO14" i="8"/>
  <c r="BA12" i="6" l="1"/>
  <c r="BA18" i="6" s="1"/>
  <c r="BA66" i="6" s="1"/>
  <c r="AA12" i="6"/>
  <c r="N10" i="8"/>
  <c r="N11" i="8" s="1"/>
  <c r="Q12" i="6"/>
  <c r="AB18" i="6"/>
  <c r="AB66" i="6" s="1"/>
  <c r="AB67" i="6" s="1"/>
  <c r="Z67" i="6" s="1"/>
  <c r="AB17" i="6"/>
  <c r="AB64" i="6" s="1"/>
  <c r="AB65" i="6" s="1"/>
  <c r="Z65" i="6" s="1"/>
  <c r="AG12" i="6"/>
  <c r="I12" i="6"/>
  <c r="D17" i="6"/>
  <c r="D64" i="6" s="1"/>
  <c r="D65" i="6" s="1"/>
  <c r="B65" i="6" s="1"/>
  <c r="D18" i="6"/>
  <c r="D66" i="6" s="1"/>
  <c r="D67" i="6" s="1"/>
  <c r="B67" i="6" s="1"/>
  <c r="BD32" i="6"/>
  <c r="BD36" i="6"/>
  <c r="AL10" i="8"/>
  <c r="AL11" i="8" s="1"/>
  <c r="AP14" i="8"/>
  <c r="AN12" i="6"/>
  <c r="AM12" i="6"/>
  <c r="AO12" i="6"/>
  <c r="Z10" i="8"/>
  <c r="Z11" i="8" s="1"/>
  <c r="AD14" i="8"/>
  <c r="B10" i="8"/>
  <c r="B11" i="8" s="1"/>
  <c r="BE12" i="6"/>
  <c r="AZ18" i="6"/>
  <c r="AZ66" i="6" s="1"/>
  <c r="AZ67" i="6" s="1"/>
  <c r="AX67" i="6" s="1"/>
  <c r="AX10" i="8"/>
  <c r="AX11" i="8" s="1"/>
  <c r="AY12" i="6"/>
  <c r="O12" i="6"/>
  <c r="P12" i="6"/>
  <c r="AC12" i="6"/>
  <c r="C12" i="6"/>
  <c r="E12" i="6"/>
  <c r="F14" i="8"/>
  <c r="BB14" i="8"/>
  <c r="BF12" i="6" l="1"/>
  <c r="BF18" i="6" s="1"/>
  <c r="BA17" i="6"/>
  <c r="BA64" i="6" s="1"/>
  <c r="AA18" i="6"/>
  <c r="AA66" i="6" s="1"/>
  <c r="AF12" i="6"/>
  <c r="AA17" i="6"/>
  <c r="AA64" i="6" s="1"/>
  <c r="Q17" i="6"/>
  <c r="Q64" i="6" s="1"/>
  <c r="Q18" i="6"/>
  <c r="Q66" i="6" s="1"/>
  <c r="V12" i="6"/>
  <c r="BF36" i="6"/>
  <c r="J12" i="6"/>
  <c r="E17" i="6"/>
  <c r="E64" i="6" s="1"/>
  <c r="E18" i="6"/>
  <c r="E66" i="6" s="1"/>
  <c r="AT12" i="6"/>
  <c r="AO18" i="6"/>
  <c r="AO66" i="6" s="1"/>
  <c r="AO17" i="6"/>
  <c r="AO64" i="6" s="1"/>
  <c r="H32" i="6"/>
  <c r="H36" i="6"/>
  <c r="BD12" i="6"/>
  <c r="AY17" i="6"/>
  <c r="AY64" i="6" s="1"/>
  <c r="AY18" i="6"/>
  <c r="AY66" i="6" s="1"/>
  <c r="BF32" i="6"/>
  <c r="BM7" i="19"/>
  <c r="C18" i="6"/>
  <c r="C66" i="6" s="1"/>
  <c r="H12" i="6"/>
  <c r="C17" i="6"/>
  <c r="C64" i="6" s="1"/>
  <c r="H40" i="6"/>
  <c r="J40" i="6"/>
  <c r="E8" i="6"/>
  <c r="BD40" i="6"/>
  <c r="BF40" i="6"/>
  <c r="BA8" i="6"/>
  <c r="AM17" i="6"/>
  <c r="AM64" i="6" s="1"/>
  <c r="AM18" i="6"/>
  <c r="AM66" i="6" s="1"/>
  <c r="AR12" i="6"/>
  <c r="I17" i="6"/>
  <c r="I18" i="6"/>
  <c r="AH12" i="6"/>
  <c r="AC17" i="6"/>
  <c r="AC64" i="6" s="1"/>
  <c r="AC18" i="6"/>
  <c r="AC66" i="6" s="1"/>
  <c r="AN17" i="6"/>
  <c r="AN64" i="6" s="1"/>
  <c r="AN65" i="6" s="1"/>
  <c r="AL65" i="6" s="1"/>
  <c r="AS12" i="6"/>
  <c r="AN18" i="6"/>
  <c r="AN66" i="6" s="1"/>
  <c r="AN67" i="6" s="1"/>
  <c r="AL67" i="6" s="1"/>
  <c r="P18" i="6"/>
  <c r="P66" i="6" s="1"/>
  <c r="P67" i="6" s="1"/>
  <c r="N67" i="6" s="1"/>
  <c r="U12" i="6"/>
  <c r="P17" i="6"/>
  <c r="P64" i="6" s="1"/>
  <c r="P65" i="6" s="1"/>
  <c r="N65" i="6" s="1"/>
  <c r="AF32" i="6"/>
  <c r="AF36" i="6"/>
  <c r="BE18" i="6"/>
  <c r="BE17" i="6"/>
  <c r="AG18" i="6"/>
  <c r="AG17" i="6"/>
  <c r="T12" i="6"/>
  <c r="O18" i="6"/>
  <c r="O66" i="6" s="1"/>
  <c r="O17" i="6"/>
  <c r="O64" i="6" s="1"/>
  <c r="AC8" i="6"/>
  <c r="AH40" i="6"/>
  <c r="AF40" i="6"/>
  <c r="BF17" i="6" l="1"/>
  <c r="AF17" i="6"/>
  <c r="AF18" i="6"/>
  <c r="V17" i="6"/>
  <c r="V18" i="6"/>
  <c r="T40" i="6"/>
  <c r="V40" i="6"/>
  <c r="Q8" i="6"/>
  <c r="AR18" i="6"/>
  <c r="AR17" i="6"/>
  <c r="AT17" i="6"/>
  <c r="AT18" i="6"/>
  <c r="AS18" i="6"/>
  <c r="AS17" i="6"/>
  <c r="U18" i="6"/>
  <c r="U17" i="6"/>
  <c r="AR36" i="6"/>
  <c r="AR32" i="6"/>
  <c r="AR40" i="6"/>
  <c r="AT40" i="6"/>
  <c r="AO8" i="6"/>
  <c r="AH36" i="6"/>
  <c r="BD18" i="6"/>
  <c r="BD17" i="6"/>
  <c r="J18" i="6"/>
  <c r="J17" i="6"/>
  <c r="T17" i="6"/>
  <c r="T18" i="6"/>
  <c r="AH32" i="6"/>
  <c r="AK7" i="19"/>
  <c r="H18" i="6"/>
  <c r="H17" i="6"/>
  <c r="J36" i="6"/>
  <c r="BM10" i="19"/>
  <c r="BM9" i="19"/>
  <c r="BN9" i="19" s="1"/>
  <c r="T36" i="6"/>
  <c r="T32" i="6"/>
  <c r="AH18" i="6"/>
  <c r="AH17" i="6"/>
  <c r="J32" i="6"/>
  <c r="I7" i="19"/>
  <c r="V36" i="6" l="1"/>
  <c r="V32" i="6"/>
  <c r="W7" i="19"/>
  <c r="BM11" i="19"/>
  <c r="BN10" i="19"/>
  <c r="AT32" i="6"/>
  <c r="AY7" i="19"/>
  <c r="AK10" i="19"/>
  <c r="AK9" i="19"/>
  <c r="AL9" i="19" s="1"/>
  <c r="AT36" i="6"/>
  <c r="I10" i="19"/>
  <c r="I9" i="19"/>
  <c r="J9" i="19" s="1"/>
  <c r="W10" i="19" l="1"/>
  <c r="W9" i="19"/>
  <c r="X9" i="19" s="1"/>
  <c r="I11" i="19"/>
  <c r="J10" i="19"/>
  <c r="AY10" i="19"/>
  <c r="AY9" i="19"/>
  <c r="AZ9" i="19" s="1"/>
  <c r="BM12" i="19"/>
  <c r="BN11" i="19"/>
  <c r="AL10" i="19"/>
  <c r="AK11" i="19"/>
  <c r="BM13" i="19" l="1"/>
  <c r="BN12" i="19"/>
  <c r="X10" i="19"/>
  <c r="W11" i="19"/>
  <c r="AL11" i="19"/>
  <c r="AK12" i="19"/>
  <c r="I12" i="19"/>
  <c r="J11" i="19"/>
  <c r="AY11" i="19"/>
  <c r="AZ10" i="19"/>
  <c r="I13" i="19" l="1"/>
  <c r="J12" i="19"/>
  <c r="AL12" i="19"/>
  <c r="AK13" i="19"/>
  <c r="X11" i="19"/>
  <c r="W12" i="19"/>
  <c r="AY12" i="19"/>
  <c r="AZ11" i="19"/>
  <c r="BN13" i="19"/>
  <c r="BM14" i="19"/>
  <c r="J13" i="19" l="1"/>
  <c r="I14" i="19"/>
  <c r="BN14" i="19"/>
  <c r="BM15" i="19"/>
  <c r="W13" i="19"/>
  <c r="X12" i="19"/>
  <c r="AL13" i="19"/>
  <c r="AK14" i="19"/>
  <c r="AY13" i="19"/>
  <c r="AZ12" i="19"/>
  <c r="AZ13" i="19" l="1"/>
  <c r="AY14" i="19"/>
  <c r="BN15" i="19"/>
  <c r="BM16" i="19"/>
  <c r="W14" i="19"/>
  <c r="X13" i="19"/>
  <c r="I15" i="19"/>
  <c r="J14" i="19"/>
  <c r="AK15" i="19"/>
  <c r="AL14" i="19"/>
  <c r="I16" i="19" l="1"/>
  <c r="J15" i="19"/>
  <c r="BN16" i="19"/>
  <c r="BM17" i="19"/>
  <c r="AZ14" i="19"/>
  <c r="AY15" i="19"/>
  <c r="W15" i="19"/>
  <c r="X14" i="19"/>
  <c r="AL15" i="19"/>
  <c r="AK16" i="19"/>
  <c r="W16" i="19" l="1"/>
  <c r="X15" i="19"/>
  <c r="BN17" i="19"/>
  <c r="BM18" i="19"/>
  <c r="AZ15" i="19"/>
  <c r="AY16" i="19"/>
  <c r="AL16" i="19"/>
  <c r="AK17" i="19"/>
  <c r="J16" i="19"/>
  <c r="I17" i="19"/>
  <c r="AK18" i="19" l="1"/>
  <c r="AL17" i="19"/>
  <c r="AZ16" i="19"/>
  <c r="AY17" i="19"/>
  <c r="BM19" i="19"/>
  <c r="BN18" i="19"/>
  <c r="I18" i="19"/>
  <c r="J17" i="19"/>
  <c r="X16" i="19"/>
  <c r="W17" i="19"/>
  <c r="I19" i="19" l="1"/>
  <c r="J18" i="19"/>
  <c r="AZ17" i="19"/>
  <c r="AY18" i="19"/>
  <c r="BN19" i="19"/>
  <c r="BM20" i="19"/>
  <c r="X17" i="19"/>
  <c r="W18" i="19"/>
  <c r="AK19" i="19"/>
  <c r="AL18" i="19"/>
  <c r="BM21" i="19" l="1"/>
  <c r="BN20" i="19"/>
  <c r="AY19" i="19"/>
  <c r="AZ18" i="19"/>
  <c r="X18" i="19"/>
  <c r="W19" i="19"/>
  <c r="AK20" i="19"/>
  <c r="AL19" i="19"/>
  <c r="I20" i="19"/>
  <c r="J19" i="19"/>
  <c r="X19" i="19" l="1"/>
  <c r="W20" i="19"/>
  <c r="AY20" i="19"/>
  <c r="AZ19" i="19"/>
  <c r="AL20" i="19"/>
  <c r="AK21" i="19"/>
  <c r="I21" i="19"/>
  <c r="J20" i="19"/>
  <c r="BN21" i="19"/>
  <c r="BM22" i="19"/>
  <c r="AL21" i="19" l="1"/>
  <c r="AK22" i="19"/>
  <c r="AY21" i="19"/>
  <c r="AZ20" i="19"/>
  <c r="BN22" i="19"/>
  <c r="BM23" i="19"/>
  <c r="W21" i="19"/>
  <c r="X20" i="19"/>
  <c r="I22" i="19"/>
  <c r="J21" i="19"/>
  <c r="AZ21" i="19" l="1"/>
  <c r="AY22" i="19"/>
  <c r="J22" i="19"/>
  <c r="I23" i="19"/>
  <c r="W22" i="19"/>
  <c r="X21" i="19"/>
  <c r="BN23" i="19"/>
  <c r="BM24" i="19"/>
  <c r="AL22" i="19"/>
  <c r="AK23" i="19"/>
  <c r="W23" i="19" l="1"/>
  <c r="X22" i="19"/>
  <c r="I24" i="19"/>
  <c r="J23" i="19"/>
  <c r="AL23" i="19"/>
  <c r="AK24" i="19"/>
  <c r="AZ22" i="19"/>
  <c r="AY23" i="19"/>
  <c r="BN24" i="19"/>
  <c r="BM25" i="19"/>
  <c r="AZ23" i="19" l="1"/>
  <c r="AY24" i="19"/>
  <c r="AK25" i="19"/>
  <c r="AL24" i="19"/>
  <c r="J24" i="19"/>
  <c r="I25" i="19"/>
  <c r="BM26" i="19"/>
  <c r="BN25" i="19"/>
  <c r="X23" i="19"/>
  <c r="W24" i="19"/>
  <c r="BM27" i="19" l="1"/>
  <c r="BN26" i="19"/>
  <c r="I26" i="19"/>
  <c r="J25" i="19"/>
  <c r="AK26" i="19"/>
  <c r="AL25" i="19"/>
  <c r="W25" i="19"/>
  <c r="X24" i="19"/>
  <c r="AZ24" i="19"/>
  <c r="AY25" i="19"/>
  <c r="J26" i="19" l="1"/>
  <c r="I27" i="19"/>
  <c r="X25" i="19"/>
  <c r="W26" i="19"/>
  <c r="AK27" i="19"/>
  <c r="AL26" i="19"/>
  <c r="AY26" i="19"/>
  <c r="AZ25" i="19"/>
  <c r="BM28" i="19"/>
  <c r="BN27" i="19"/>
  <c r="AY27" i="19" l="1"/>
  <c r="AZ26" i="19"/>
  <c r="AL27" i="19"/>
  <c r="AK28" i="19"/>
  <c r="W27" i="19"/>
  <c r="X26" i="19"/>
  <c r="J27" i="19"/>
  <c r="I28" i="19"/>
  <c r="BN28" i="19"/>
  <c r="BM29" i="19"/>
  <c r="X27" i="19" l="1"/>
  <c r="W28" i="19"/>
  <c r="AL28" i="19"/>
  <c r="AK29" i="19"/>
  <c r="J28" i="19"/>
  <c r="I29" i="19"/>
  <c r="BM30" i="19"/>
  <c r="BN30" i="19" s="1"/>
  <c r="BN29" i="19"/>
  <c r="AZ27" i="19"/>
  <c r="AY28" i="19"/>
  <c r="BN7" i="19" l="1"/>
  <c r="BQ7" i="19" s="1"/>
  <c r="I30" i="19"/>
  <c r="J30" i="19" s="1"/>
  <c r="J29" i="19"/>
  <c r="AK30" i="19"/>
  <c r="AL30" i="19" s="1"/>
  <c r="AL29" i="19"/>
  <c r="AY29" i="19"/>
  <c r="AZ28" i="19"/>
  <c r="X28" i="19"/>
  <c r="W29" i="19"/>
  <c r="BO7" i="19" l="1"/>
  <c r="J7" i="19"/>
  <c r="AL7" i="19"/>
  <c r="AM7" i="19" s="1"/>
  <c r="AY30" i="19"/>
  <c r="AZ30" i="19" s="1"/>
  <c r="AZ29" i="19"/>
  <c r="BE20" i="6"/>
  <c r="BE19" i="6" s="1"/>
  <c r="BE21" i="6" s="1"/>
  <c r="BE23" i="6" s="1"/>
  <c r="BD20" i="6"/>
  <c r="BD19" i="6" s="1"/>
  <c r="BD21" i="6" s="1"/>
  <c r="BD23" i="6" s="1"/>
  <c r="BF20" i="6"/>
  <c r="BF19" i="6" s="1"/>
  <c r="BF21" i="6" s="1"/>
  <c r="BF23" i="6" s="1"/>
  <c r="X29" i="19"/>
  <c r="W30" i="19"/>
  <c r="X30" i="19" s="1"/>
  <c r="K7" i="19"/>
  <c r="M7" i="19"/>
  <c r="AO7" i="19" l="1"/>
  <c r="AZ7" i="19"/>
  <c r="BA7" i="19" s="1"/>
  <c r="BE24" i="6"/>
  <c r="AZ23" i="6"/>
  <c r="AZ62" i="6" s="1"/>
  <c r="AZ61" i="6" s="1"/>
  <c r="AX61" i="6" s="1"/>
  <c r="BE25" i="6"/>
  <c r="AY23" i="6"/>
  <c r="AY62" i="6" s="1"/>
  <c r="BD24" i="6"/>
  <c r="BD25" i="6"/>
  <c r="BF24" i="6"/>
  <c r="BA23" i="6"/>
  <c r="BA62" i="6" s="1"/>
  <c r="BF25" i="6"/>
  <c r="I20" i="6"/>
  <c r="I19" i="6" s="1"/>
  <c r="I21" i="6" s="1"/>
  <c r="I23" i="6" s="1"/>
  <c r="J20" i="6"/>
  <c r="J19" i="6" s="1"/>
  <c r="J21" i="6" s="1"/>
  <c r="J23" i="6" s="1"/>
  <c r="H20" i="6"/>
  <c r="H19" i="6" s="1"/>
  <c r="H21" i="6" s="1"/>
  <c r="H23" i="6" s="1"/>
  <c r="X7" i="19"/>
  <c r="AG20" i="6"/>
  <c r="AG19" i="6" s="1"/>
  <c r="AG21" i="6" s="1"/>
  <c r="AG23" i="6" s="1"/>
  <c r="AH20" i="6"/>
  <c r="AH19" i="6" s="1"/>
  <c r="AH21" i="6" s="1"/>
  <c r="AH23" i="6" s="1"/>
  <c r="AF20" i="6"/>
  <c r="AF19" i="6" s="1"/>
  <c r="AF21" i="6" s="1"/>
  <c r="AF23" i="6" s="1"/>
  <c r="BC7" i="19" l="1"/>
  <c r="Y7" i="19"/>
  <c r="AA7" i="19"/>
  <c r="AR20" i="6"/>
  <c r="AR19" i="6" s="1"/>
  <c r="AR21" i="6" s="1"/>
  <c r="AR23" i="6" s="1"/>
  <c r="AS20" i="6"/>
  <c r="AS19" i="6" s="1"/>
  <c r="AS21" i="6" s="1"/>
  <c r="AS23" i="6" s="1"/>
  <c r="AT20" i="6"/>
  <c r="AT19" i="6" s="1"/>
  <c r="AT21" i="6" s="1"/>
  <c r="AT23" i="6" s="1"/>
  <c r="C23" i="6"/>
  <c r="H24" i="6"/>
  <c r="H25" i="6"/>
  <c r="J24" i="6"/>
  <c r="E23" i="6"/>
  <c r="J25" i="6"/>
  <c r="BA9" i="6"/>
  <c r="BD42" i="6"/>
  <c r="BF42" i="6"/>
  <c r="BF41" i="6" s="1"/>
  <c r="AB23" i="6"/>
  <c r="AB62" i="6" s="1"/>
  <c r="AB61" i="6" s="1"/>
  <c r="Z61" i="6" s="1"/>
  <c r="AG24" i="6"/>
  <c r="AG25" i="6"/>
  <c r="AF24" i="6"/>
  <c r="AA23" i="6"/>
  <c r="AA62" i="6" s="1"/>
  <c r="AF25" i="6"/>
  <c r="I24" i="6"/>
  <c r="D23" i="6"/>
  <c r="I25" i="6"/>
  <c r="AC23" i="6"/>
  <c r="AC62" i="6" s="1"/>
  <c r="AH24" i="6"/>
  <c r="AH25" i="6"/>
  <c r="AH42" i="6" l="1"/>
  <c r="AH41" i="6" s="1"/>
  <c r="AF42" i="6"/>
  <c r="AC9" i="6"/>
  <c r="B15" i="3"/>
  <c r="C62" i="6"/>
  <c r="E15" i="3"/>
  <c r="D62" i="6"/>
  <c r="D61" i="6" s="1"/>
  <c r="B61" i="6" s="1"/>
  <c r="AO23" i="6"/>
  <c r="AO62" i="6" s="1"/>
  <c r="AT24" i="6"/>
  <c r="AT25" i="6"/>
  <c r="AS24" i="6"/>
  <c r="AN23" i="6"/>
  <c r="AN62" i="6" s="1"/>
  <c r="AN61" i="6" s="1"/>
  <c r="AL61" i="6" s="1"/>
  <c r="AS25" i="6"/>
  <c r="BD41" i="6"/>
  <c r="BE40" i="6"/>
  <c r="BE41" i="6" s="1"/>
  <c r="AR24" i="6"/>
  <c r="AM23" i="6"/>
  <c r="AM62" i="6" s="1"/>
  <c r="AR25" i="6"/>
  <c r="H15" i="3"/>
  <c r="E62" i="6"/>
  <c r="AY31" i="12"/>
  <c r="BD38" i="6"/>
  <c r="BD34" i="6"/>
  <c r="V20" i="6"/>
  <c r="V19" i="6" s="1"/>
  <c r="V21" i="6" s="1"/>
  <c r="V23" i="6" s="1"/>
  <c r="T20" i="6"/>
  <c r="T19" i="6" s="1"/>
  <c r="T21" i="6" s="1"/>
  <c r="T23" i="6" s="1"/>
  <c r="U20" i="6"/>
  <c r="U19" i="6" s="1"/>
  <c r="U21" i="6" s="1"/>
  <c r="U23" i="6" s="1"/>
  <c r="J42" i="6" l="1"/>
  <c r="J41" i="6" s="1"/>
  <c r="E9" i="6"/>
  <c r="H42" i="6"/>
  <c r="Q23" i="6"/>
  <c r="Q62" i="6" s="1"/>
  <c r="V24" i="6"/>
  <c r="V25" i="6"/>
  <c r="AT42" i="6"/>
  <c r="AT41" i="6" s="1"/>
  <c r="AR42" i="6"/>
  <c r="AO9" i="6"/>
  <c r="BF38" i="6"/>
  <c r="BE36" i="6"/>
  <c r="BE37" i="6" s="1"/>
  <c r="AF38" i="6"/>
  <c r="AF34" i="6"/>
  <c r="AA31" i="12"/>
  <c r="U24" i="6"/>
  <c r="P23" i="6"/>
  <c r="P62" i="6" s="1"/>
  <c r="P61" i="6" s="1"/>
  <c r="N61" i="6" s="1"/>
  <c r="U25" i="6"/>
  <c r="AF41" i="6"/>
  <c r="AG40" i="6"/>
  <c r="AG41" i="6" s="1"/>
  <c r="BD33" i="6"/>
  <c r="BF34" i="6"/>
  <c r="BE32" i="6"/>
  <c r="BE33" i="6" s="1"/>
  <c r="O23" i="6"/>
  <c r="O62" i="6" s="1"/>
  <c r="T24" i="6"/>
  <c r="T25" i="6"/>
  <c r="AH34" i="6" l="1"/>
  <c r="AF33" i="6"/>
  <c r="AG32" i="6"/>
  <c r="AG33" i="6" s="1"/>
  <c r="AR41" i="6"/>
  <c r="AS40" i="6"/>
  <c r="AS41" i="6" s="1"/>
  <c r="BD37" i="6"/>
  <c r="BF37" i="6" s="1"/>
  <c r="BF33" i="6"/>
  <c r="AH38" i="6"/>
  <c r="AG36" i="6"/>
  <c r="AG37" i="6" s="1"/>
  <c r="V42" i="6"/>
  <c r="V41" i="6" s="1"/>
  <c r="T42" i="6"/>
  <c r="Q9" i="6"/>
  <c r="H34" i="6"/>
  <c r="H38" i="6"/>
  <c r="C31" i="12"/>
  <c r="H41" i="6"/>
  <c r="I40" i="6"/>
  <c r="I41" i="6" s="1"/>
  <c r="AM31" i="12"/>
  <c r="AR34" i="6"/>
  <c r="AR38" i="6"/>
  <c r="H33" i="6" l="1"/>
  <c r="J34" i="6"/>
  <c r="I32" i="6"/>
  <c r="I33" i="6" s="1"/>
  <c r="J38" i="6"/>
  <c r="I36" i="6"/>
  <c r="I37" i="6" s="1"/>
  <c r="AT38" i="6"/>
  <c r="AS36" i="6"/>
  <c r="AS37" i="6" s="1"/>
  <c r="T38" i="6"/>
  <c r="O31" i="12"/>
  <c r="T34" i="6"/>
  <c r="AR33" i="6"/>
  <c r="AT34" i="6"/>
  <c r="AS32" i="6"/>
  <c r="AS33" i="6" s="1"/>
  <c r="T41" i="6"/>
  <c r="U40" i="6"/>
  <c r="U41" i="6" s="1"/>
  <c r="AH33" i="6"/>
  <c r="AF37" i="6"/>
  <c r="AH37" i="6" s="1"/>
  <c r="V38" i="6" l="1"/>
  <c r="U36" i="6"/>
  <c r="U37" i="6" s="1"/>
  <c r="AT33" i="6"/>
  <c r="AR37" i="6"/>
  <c r="AT37" i="6" s="1"/>
  <c r="V34" i="6"/>
  <c r="T33" i="6"/>
  <c r="U32" i="6"/>
  <c r="U33" i="6" s="1"/>
  <c r="J33" i="6"/>
  <c r="H37" i="6"/>
  <c r="J37" i="6" s="1"/>
  <c r="V33" i="6" l="1"/>
  <c r="T37" i="6"/>
  <c r="V37" i="6" s="1"/>
</calcChain>
</file>

<file path=xl/sharedStrings.xml><?xml version="1.0" encoding="utf-8"?>
<sst xmlns="http://schemas.openxmlformats.org/spreadsheetml/2006/main" count="1255" uniqueCount="313">
  <si>
    <t>plotter einrichten</t>
  </si>
  <si>
    <t>plotten m2</t>
  </si>
  <si>
    <t>braun</t>
  </si>
  <si>
    <t>weiss</t>
  </si>
  <si>
    <t>schwarz</t>
  </si>
  <si>
    <t>grundmarge</t>
  </si>
  <si>
    <t>maximale marge</t>
  </si>
  <si>
    <t>bis</t>
  </si>
  <si>
    <t>minimale marge</t>
  </si>
  <si>
    <t>breite</t>
  </si>
  <si>
    <t>höhe</t>
  </si>
  <si>
    <t>länge</t>
  </si>
  <si>
    <t>typ s</t>
  </si>
  <si>
    <t>typ m</t>
  </si>
  <si>
    <t>typ l</t>
  </si>
  <si>
    <t>mm</t>
  </si>
  <si>
    <t>degressive marge von bis</t>
  </si>
  <si>
    <t>von</t>
  </si>
  <si>
    <t>welle</t>
  </si>
  <si>
    <t>farbe</t>
  </si>
  <si>
    <t>anzahl schichten</t>
  </si>
  <si>
    <t>fläche schicht</t>
  </si>
  <si>
    <t>seiten</t>
  </si>
  <si>
    <t>Stückzahl</t>
  </si>
  <si>
    <t>klebekosten</t>
  </si>
  <si>
    <t>kleben einrichten</t>
  </si>
  <si>
    <t>netto*1.3</t>
  </si>
  <si>
    <t>druckumfang</t>
  </si>
  <si>
    <t>Materialkosten</t>
  </si>
  <si>
    <t>aufreiss</t>
  </si>
  <si>
    <t>fläche total /stk.</t>
  </si>
  <si>
    <t>Schneiden &amp; Kleben</t>
  </si>
  <si>
    <t>Einstandspreis Total</t>
  </si>
  <si>
    <t>Einstandspreis pro Stück</t>
  </si>
  <si>
    <t>typ M</t>
  </si>
  <si>
    <t>typ L</t>
  </si>
  <si>
    <t>typ S</t>
  </si>
  <si>
    <t>druckmaschine einrichten pro stück</t>
  </si>
  <si>
    <t>drucken pro stück</t>
  </si>
  <si>
    <t>von bis bereich</t>
  </si>
  <si>
    <t>differenz marge von bis</t>
  </si>
  <si>
    <t>degressiv pro chf</t>
  </si>
  <si>
    <t>einkaufspreis total</t>
  </si>
  <si>
    <t>degressive marge in %</t>
  </si>
  <si>
    <t>verkaufspreis total ohne grundmarge</t>
  </si>
  <si>
    <t>verkaufspreis total mit Grundmarge</t>
  </si>
  <si>
    <t>verkaufspreis pro stück</t>
  </si>
  <si>
    <t>Einstandspreise in CHF</t>
  </si>
  <si>
    <t>marge total</t>
  </si>
  <si>
    <t>fixe marge ab</t>
  </si>
  <si>
    <t>gewählte Marge für die Kalkulation</t>
  </si>
  <si>
    <t>verkauf tot</t>
  </si>
  <si>
    <t>einkauf tot</t>
  </si>
  <si>
    <t>marge %</t>
  </si>
  <si>
    <t>marge chf</t>
  </si>
  <si>
    <t>verkauf stk</t>
  </si>
  <si>
    <t>einkauf stk</t>
  </si>
  <si>
    <t>Aussenmass</t>
  </si>
  <si>
    <t>Innenmass</t>
  </si>
  <si>
    <t>Easy</t>
  </si>
  <si>
    <t>Cool</t>
  </si>
  <si>
    <t>Heavy</t>
  </si>
  <si>
    <t>E-Welle 1.5 mm</t>
  </si>
  <si>
    <t>aussen oder innen</t>
  </si>
  <si>
    <t>aussen und innen</t>
  </si>
  <si>
    <t>cooler Kleber</t>
  </si>
  <si>
    <t>Perforation</t>
  </si>
  <si>
    <t>Die Länge ist die Seite mit der Öffnung, das Innenleben kann völlig frei gestaltet werden</t>
  </si>
  <si>
    <t>aussen</t>
  </si>
  <si>
    <t>Die verschiedenen Wellen und Farben können auf Anfrage auch kombininert werden</t>
  </si>
  <si>
    <t>Es wird vor jedem Auftrag ein Muster gefertigt, dieses dient auch zur Einordnung des Typs</t>
  </si>
  <si>
    <t>Allfällige Druckdaten werden vom Kunden in den von uns gestellten Stanzriss abgefüllt.</t>
  </si>
  <si>
    <t>Die Produktion ist immer Digital, keine Kosten für Stanzmesser oder Klischee</t>
  </si>
  <si>
    <t>Wir empfehlen 2 mm Luft vom Inhalt bei Länge und Breite, bei Höhe ist keine Luft nötig</t>
  </si>
  <si>
    <t>Dieser wird anhand des Musters gefertigt, und nur mit einem Auftrag zugestellt.</t>
  </si>
  <si>
    <t>cmyk</t>
  </si>
  <si>
    <t>nein</t>
  </si>
  <si>
    <t>Magnet</t>
  </si>
  <si>
    <t>schwarze und braune Welle: farbigen Druck weiss unterlegen</t>
  </si>
  <si>
    <t>Gummibändel</t>
  </si>
  <si>
    <t>Siebdruck</t>
  </si>
  <si>
    <t xml:space="preserve">Digitaldruck  </t>
  </si>
  <si>
    <t xml:space="preserve">Siebdruck  </t>
  </si>
  <si>
    <t>kein</t>
  </si>
  <si>
    <t>1-farbig</t>
  </si>
  <si>
    <t>1-farbig weiss</t>
  </si>
  <si>
    <t>4-farbig cmyk</t>
  </si>
  <si>
    <t>kein Druck</t>
  </si>
  <si>
    <t xml:space="preserve">Wellenfarbe  </t>
  </si>
  <si>
    <t xml:space="preserve">  innen</t>
  </si>
  <si>
    <t xml:space="preserve">Wellenart  </t>
  </si>
  <si>
    <t>1-farbig schwarz</t>
  </si>
  <si>
    <t xml:space="preserve">Länge mm   </t>
  </si>
  <si>
    <t xml:space="preserve">Breite mm   </t>
  </si>
  <si>
    <t xml:space="preserve">Höhe mm   </t>
  </si>
  <si>
    <t xml:space="preserve">Anzahl Lagen   </t>
  </si>
  <si>
    <t xml:space="preserve">Stückzahl   </t>
  </si>
  <si>
    <t xml:space="preserve">Express   </t>
  </si>
  <si>
    <t xml:space="preserve">Verschluss   </t>
  </si>
  <si>
    <t>Drucklagen</t>
  </si>
  <si>
    <t>1-farb</t>
  </si>
  <si>
    <t>2-farb</t>
  </si>
  <si>
    <t>2-farbig</t>
  </si>
  <si>
    <t>kein Verschluss</t>
  </si>
  <si>
    <t>Expresszuschlag</t>
  </si>
  <si>
    <t>ja</t>
  </si>
  <si>
    <t>sekunden pro m2</t>
  </si>
  <si>
    <t>sekunden pro dummy</t>
  </si>
  <si>
    <t>m2 pro stunde</t>
  </si>
  <si>
    <t>EB-Welle 4 mm</t>
  </si>
  <si>
    <t>EE-Welle 3 mm</t>
  </si>
  <si>
    <t>BC-Welle 6.3 mm</t>
  </si>
  <si>
    <t>schichten</t>
  </si>
  <si>
    <t>stückzahl</t>
  </si>
  <si>
    <t>e-welle 1.5 mm braun</t>
  </si>
  <si>
    <t>e-welle 1.5 mm weiss</t>
  </si>
  <si>
    <t>e-welle 1.5 mm schwarz</t>
  </si>
  <si>
    <t>ee-welle 3 mm braun</t>
  </si>
  <si>
    <t>ee-welle 3 mm weiss</t>
  </si>
  <si>
    <t>ee-welle 3 mm schwarz</t>
  </si>
  <si>
    <t>eb-welle 4 mm braun</t>
  </si>
  <si>
    <t>eb-welle 4 mm weiss</t>
  </si>
  <si>
    <t>Materialkosten mit Maskenwelle</t>
  </si>
  <si>
    <t>Materialkosten mit Wechselwelle</t>
  </si>
  <si>
    <t>m2 pro schicht</t>
  </si>
  <si>
    <t>preis richter fr. pro m2</t>
  </si>
  <si>
    <t>m2 pro box</t>
  </si>
  <si>
    <t>welle maske</t>
  </si>
  <si>
    <t>fr. pro schicht</t>
  </si>
  <si>
    <t>fr. total</t>
  </si>
  <si>
    <t>abfallfaktor</t>
  </si>
  <si>
    <t>rechnet die nettofläche (D8) zur bruttofläche</t>
  </si>
  <si>
    <t>material</t>
  </si>
  <si>
    <t>schneiden</t>
  </si>
  <si>
    <t>kleben</t>
  </si>
  <si>
    <t>verschluss</t>
  </si>
  <si>
    <t>plotten easy pro m2</t>
  </si>
  <si>
    <t>plotten cool pro m2</t>
  </si>
  <si>
    <t>plotten heavy pro m2</t>
  </si>
  <si>
    <t>schneiden pro stück</t>
  </si>
  <si>
    <t>schneiden total</t>
  </si>
  <si>
    <t>sekunde pro stück</t>
  </si>
  <si>
    <t>easy</t>
  </si>
  <si>
    <t>cool</t>
  </si>
  <si>
    <t>heavy</t>
  </si>
  <si>
    <t>druckmaschine einrichten</t>
  </si>
  <si>
    <t xml:space="preserve">       preis kolb € pro m2</t>
  </si>
  <si>
    <t>siebdruck</t>
  </si>
  <si>
    <t>pro m2</t>
  </si>
  <si>
    <t>pro stück</t>
  </si>
  <si>
    <t>Stück</t>
  </si>
  <si>
    <t>Total</t>
  </si>
  <si>
    <t>pro schicht</t>
  </si>
  <si>
    <t>fr. pro box</t>
  </si>
  <si>
    <t>druckkosten pro schicht eins.</t>
  </si>
  <si>
    <t>EP pro stück</t>
  </si>
  <si>
    <t>typ</t>
  </si>
  <si>
    <t>kleben pro leimschicht</t>
  </si>
  <si>
    <t>anzahl geleimte schichten</t>
  </si>
  <si>
    <t>total klebekosten</t>
  </si>
  <si>
    <t>perforation pro mm</t>
  </si>
  <si>
    <t>pro kleber</t>
  </si>
  <si>
    <t>kosten für den verschluss</t>
  </si>
  <si>
    <t>100/menge + 0.50 + pro mm länge</t>
  </si>
  <si>
    <t>EP Total</t>
  </si>
  <si>
    <t>express</t>
  </si>
  <si>
    <t>wellenfarbe</t>
  </si>
  <si>
    <t>%</t>
  </si>
  <si>
    <t>degressive marge von fr.</t>
  </si>
  <si>
    <t>degressive marge ab fr.</t>
  </si>
  <si>
    <t xml:space="preserve">degressiv pro franken </t>
  </si>
  <si>
    <t>degressive marge %</t>
  </si>
  <si>
    <t>zwischentotal</t>
  </si>
  <si>
    <t>verkaufspreis total</t>
  </si>
  <si>
    <t>marge in fr.</t>
  </si>
  <si>
    <t>marge in %</t>
  </si>
  <si>
    <t>VP pro stück</t>
  </si>
  <si>
    <t>bc-welle 6.3 mm braun</t>
  </si>
  <si>
    <t>eb-welle 4 mm schwarz</t>
  </si>
  <si>
    <t>bc-welle 6.3 mm weiss</t>
  </si>
  <si>
    <t>bc-welle 6.3 mm schwarz</t>
  </si>
  <si>
    <t xml:space="preserve">materialkosten </t>
  </si>
  <si>
    <t>€ Materialkosten mit Maskenwelle mit EP Kolb</t>
  </si>
  <si>
    <t>materialkosten für kalkulation (die teurere von grau und blau)</t>
  </si>
  <si>
    <t>materialkosten 2</t>
  </si>
  <si>
    <t>materialkosten 3</t>
  </si>
  <si>
    <t>materialkosten 4</t>
  </si>
  <si>
    <t>materialkosten 5</t>
  </si>
  <si>
    <t>materialkosten 1</t>
  </si>
  <si>
    <t>schneidkosten 1</t>
  </si>
  <si>
    <t>schneidkosten 2</t>
  </si>
  <si>
    <t>druckkosten 5</t>
  </si>
  <si>
    <t>druckkosten 4</t>
  </si>
  <si>
    <t>druckkosten 2</t>
  </si>
  <si>
    <t>druckkosten 1</t>
  </si>
  <si>
    <t>Siebdruck pro Schicht</t>
  </si>
  <si>
    <t>digitaldruck</t>
  </si>
  <si>
    <t>klebekosten 1</t>
  </si>
  <si>
    <t>klebekosten 2</t>
  </si>
  <si>
    <t>klebekosten 3</t>
  </si>
  <si>
    <t>klebekosten 4</t>
  </si>
  <si>
    <t>klebekosten 5</t>
  </si>
  <si>
    <t>verschluss 1</t>
  </si>
  <si>
    <t>Verschluss</t>
  </si>
  <si>
    <t>verschluss 5</t>
  </si>
  <si>
    <t>verschluss 4</t>
  </si>
  <si>
    <t>verschluss 3</t>
  </si>
  <si>
    <t>verschluss 2</t>
  </si>
  <si>
    <t>Wellenfarbe</t>
  </si>
  <si>
    <t>Lagen</t>
  </si>
  <si>
    <t>Wellenprofil</t>
  </si>
  <si>
    <t>Siebdruck Pantone</t>
  </si>
  <si>
    <t>Druckumfang</t>
  </si>
  <si>
    <t>Druckart</t>
  </si>
  <si>
    <t>Express</t>
  </si>
  <si>
    <t>Variante 1</t>
  </si>
  <si>
    <t>Menge</t>
  </si>
  <si>
    <t>Stückpreis</t>
  </si>
  <si>
    <t>Variante 2</t>
  </si>
  <si>
    <t>Variante 3</t>
  </si>
  <si>
    <t>Variante 4</t>
  </si>
  <si>
    <t>Variante 5</t>
  </si>
  <si>
    <t>Lieferung</t>
  </si>
  <si>
    <t>Preise</t>
  </si>
  <si>
    <t>frei Haus ganze Schweiz</t>
  </si>
  <si>
    <t>Zahlung</t>
  </si>
  <si>
    <t>14 Tage netto</t>
  </si>
  <si>
    <t>Optipac GmbH</t>
  </si>
  <si>
    <t>Angebot Mycut vom</t>
  </si>
  <si>
    <t>Vielen Dank für Ihr Interesse, für weitere Auskunft stehen wir gerne zur Verfügung.</t>
  </si>
  <si>
    <t>Mycut</t>
  </si>
  <si>
    <t>VP</t>
  </si>
  <si>
    <t>gewählte marge</t>
  </si>
  <si>
    <t>aussenhöhe</t>
  </si>
  <si>
    <t>innenhöhe</t>
  </si>
  <si>
    <t>Länge aussen</t>
  </si>
  <si>
    <t>Breite aussen</t>
  </si>
  <si>
    <t>Höhe aussen</t>
  </si>
  <si>
    <t>Muster-Nummer:</t>
  </si>
  <si>
    <t>Vorname Name</t>
  </si>
  <si>
    <t>Firma</t>
  </si>
  <si>
    <t>Strasse</t>
  </si>
  <si>
    <t>PLZ Ort</t>
  </si>
  <si>
    <t>Typ voraussichlich</t>
  </si>
  <si>
    <t>Die Liefermenge ist bis 100 Stück punktgenau, darüber gilt eine Toleranz von +/- 10%</t>
  </si>
  <si>
    <t>netto zuzüglich 8.1 % Mehrwertsteuer</t>
  </si>
  <si>
    <t>optipac</t>
  </si>
  <si>
    <t>EP</t>
  </si>
  <si>
    <t>VP ohne Grundmarge</t>
  </si>
  <si>
    <t>VP mit Grundmarge</t>
  </si>
  <si>
    <t>DB ohne Grundmarge</t>
  </si>
  <si>
    <t>DB mit Grundmarge</t>
  </si>
  <si>
    <t>Prozent</t>
  </si>
  <si>
    <t>Fr. Total</t>
  </si>
  <si>
    <t>Fr. Stück</t>
  </si>
  <si>
    <t>EP ohne DB2</t>
  </si>
  <si>
    <t>EP 2</t>
  </si>
  <si>
    <t>EP2</t>
  </si>
  <si>
    <t xml:space="preserve">EP </t>
  </si>
  <si>
    <t>DB 1</t>
  </si>
  <si>
    <t>Lieferfrist</t>
  </si>
  <si>
    <t>Liefermenge</t>
  </si>
  <si>
    <t>ab 100 Stück +/- 10% der Bestellmenge</t>
  </si>
  <si>
    <t>Digitaldruck UV</t>
  </si>
  <si>
    <t>Bedruckte Muster innert ca. 1 Woche, dafür werden Fr. 150.- separat und sofort verrechnet.</t>
  </si>
  <si>
    <t>Unbedruckt innert 1-2 Arbeitstagen, dafür werden Fr. 50.- separat und sofort verrechnet.</t>
  </si>
  <si>
    <t>Alle Preise sind inklusive Lieferung, und exklusive 8.1% MwSt.</t>
  </si>
  <si>
    <t>Liefertermin bis 1'000 Stück ist in der Regel ca. 3 Wochen.</t>
  </si>
  <si>
    <t>Pro weitere 1'000 Stück cirka plus 1 Woche, Expressaufträge auf Anfrage</t>
  </si>
  <si>
    <t>beidseitig</t>
  </si>
  <si>
    <t>Anzahl Lagen</t>
  </si>
  <si>
    <t>Alle Lagen</t>
  </si>
  <si>
    <t>Zahlen ohne Grundmarge</t>
  </si>
  <si>
    <t>Zahlen mit Grundmarge</t>
  </si>
  <si>
    <t xml:space="preserve">Zahlen mit Grundmarge                          aber ohne Lohnkosten </t>
  </si>
  <si>
    <t>Typ</t>
  </si>
  <si>
    <t>Digitaldruck Eco</t>
  </si>
  <si>
    <t>VP%</t>
  </si>
  <si>
    <t>marge</t>
  </si>
  <si>
    <t>VP %</t>
  </si>
  <si>
    <t>DB %</t>
  </si>
  <si>
    <t>EP %</t>
  </si>
  <si>
    <t>ab</t>
  </si>
  <si>
    <t>EP 1</t>
  </si>
  <si>
    <t>VP1  CHF</t>
  </si>
  <si>
    <t>VP2  CHF</t>
  </si>
  <si>
    <t>EP 3</t>
  </si>
  <si>
    <t>VP3  CHF</t>
  </si>
  <si>
    <t>EP 4</t>
  </si>
  <si>
    <t>VP4  CHF</t>
  </si>
  <si>
    <t>EP 5</t>
  </si>
  <si>
    <t>VP5  CHF</t>
  </si>
  <si>
    <t>folienprägung</t>
  </si>
  <si>
    <t xml:space="preserve">Siebdruck </t>
  </si>
  <si>
    <t>druckkosten aussen</t>
  </si>
  <si>
    <t>druckkosten für innen</t>
  </si>
  <si>
    <t>druckkosten 3</t>
  </si>
  <si>
    <t>Selbstklebend</t>
  </si>
  <si>
    <t>schlitz</t>
  </si>
  <si>
    <t>einseitig</t>
  </si>
  <si>
    <t>Folienprägung</t>
  </si>
  <si>
    <t>siebdruck einseitig</t>
  </si>
  <si>
    <t>digitaldruck eins.</t>
  </si>
  <si>
    <t>digitaldruck beids.</t>
  </si>
  <si>
    <t>siebdruck bedseitig</t>
  </si>
  <si>
    <r>
      <t xml:space="preserve">Mycut  Kalkulator von Optipac  </t>
    </r>
    <r>
      <rPr>
        <b/>
        <sz val="8"/>
        <color theme="0" tint="-4.9989318521683403E-2"/>
        <rFont val="Calibri"/>
        <family val="2"/>
        <scheme val="minor"/>
      </rPr>
      <t>2509</t>
    </r>
  </si>
  <si>
    <t>4-farbig</t>
  </si>
  <si>
    <t>digitaldruck 4-farbig</t>
  </si>
  <si>
    <t>digitaldruck weiss</t>
  </si>
  <si>
    <t>siebdruck 1-farbig</t>
  </si>
  <si>
    <t>siebdruck 2-farbig</t>
  </si>
  <si>
    <t xml:space="preserve">von </t>
  </si>
  <si>
    <t>einrichten A4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</si>
</sst>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 * #,##0.0000_ ;_ * \-#,##0.0000_ ;_ * &quot;-&quot;??_ ;_ @_ "/>
    <numFmt numFmtId="165" formatCode="_ * #,##0_ ;_ * \-#,##0_ ;_ * &quot;-&quot;??_ ;_ @_ "/>
    <numFmt numFmtId="166" formatCode="_ * #,##0.0000000_ ;_ * \-#,##0.0000000_ ;_ * &quot;-&quot;??_ ;_ @_ "/>
    <numFmt numFmtId="167" formatCode="0&quot; -lagig&quot;"/>
    <numFmt numFmtId="168" formatCode="\F\r&quot;.&quot;\ #,##0.00;\F\r.&quot;.&quot;\ \-###0.00"/>
    <numFmt numFmtId="169" formatCode="_ * #,##0.000_ ;_ * \-#,##0.000_ ;_ * &quot;-&quot;??_ ;_ @_ "/>
    <numFmt numFmtId="170" formatCode="_ * #,##0.00000_ ;_ * \-#,##0.00000_ ;_ * &quot;-&quot;??_ ;_ @_ "/>
    <numFmt numFmtId="171" formatCode="0&quot;-lagig&quot;"/>
    <numFmt numFmtId="172" formatCode="0&quot; -seitig&quot;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6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2"/>
      <color theme="0" tint="-4.9989318521683403E-2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sz val="16"/>
      <color rgb="FF5AC86E"/>
      <name val="Calibri"/>
      <family val="2"/>
      <scheme val="minor"/>
    </font>
    <font>
      <b/>
      <sz val="12"/>
      <color rgb="FF5AC86E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5AC86E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2"/>
      <color theme="0" tint="-0.14999847407452621"/>
      <name val="Calibri"/>
      <family val="2"/>
      <scheme val="minor"/>
    </font>
    <font>
      <sz val="11"/>
      <color theme="8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8"/>
      <color theme="0" tint="-4.9989318521683403E-2"/>
      <name val="Calibri"/>
      <family val="2"/>
      <scheme val="minor"/>
    </font>
    <font>
      <sz val="9"/>
      <color theme="1"/>
      <name val="Hermes Regular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5AC86E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DCFFE"/>
        <bgColor indexed="64"/>
      </patternFill>
    </fill>
    <fill>
      <patternFill patternType="solid">
        <fgColor rgb="FFF9718E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6">
    <xf numFmtId="0" fontId="0" fillId="0" borderId="0" xfId="0"/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43" fontId="0" fillId="0" borderId="0" xfId="1" applyFont="1" applyAlignment="1">
      <alignment vertical="center"/>
    </xf>
    <xf numFmtId="0" fontId="0" fillId="2" borderId="0" xfId="0" applyFill="1" applyAlignment="1">
      <alignment vertical="center"/>
    </xf>
    <xf numFmtId="43" fontId="0" fillId="2" borderId="0" xfId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43" fontId="2" fillId="2" borderId="0" xfId="1" applyFont="1" applyFill="1" applyAlignment="1">
      <alignment vertical="center"/>
    </xf>
    <xf numFmtId="0" fontId="2" fillId="0" borderId="0" xfId="0" applyFont="1" applyAlignment="1">
      <alignment vertical="center"/>
    </xf>
    <xf numFmtId="164" fontId="0" fillId="0" borderId="0" xfId="1" applyNumberFormat="1" applyFont="1" applyBorder="1" applyAlignment="1">
      <alignment vertical="center"/>
    </xf>
    <xf numFmtId="43" fontId="0" fillId="4" borderId="6" xfId="1" applyFont="1" applyFill="1" applyBorder="1" applyAlignment="1">
      <alignment vertical="center"/>
    </xf>
    <xf numFmtId="43" fontId="0" fillId="4" borderId="7" xfId="1" applyFont="1" applyFill="1" applyBorder="1" applyAlignment="1">
      <alignment vertical="center"/>
    </xf>
    <xf numFmtId="164" fontId="0" fillId="4" borderId="6" xfId="1" applyNumberFormat="1" applyFont="1" applyFill="1" applyBorder="1" applyAlignment="1">
      <alignment vertical="center"/>
    </xf>
    <xf numFmtId="0" fontId="0" fillId="5" borderId="4" xfId="0" applyFill="1" applyBorder="1" applyAlignment="1">
      <alignment vertical="center"/>
    </xf>
    <xf numFmtId="164" fontId="0" fillId="5" borderId="1" xfId="1" applyNumberFormat="1" applyFont="1" applyFill="1" applyBorder="1" applyAlignment="1">
      <alignment vertical="center"/>
    </xf>
    <xf numFmtId="0" fontId="0" fillId="5" borderId="6" xfId="0" applyFill="1" applyBorder="1" applyAlignment="1">
      <alignment vertical="center"/>
    </xf>
    <xf numFmtId="164" fontId="0" fillId="5" borderId="0" xfId="1" applyNumberFormat="1" applyFont="1" applyFill="1" applyBorder="1" applyAlignment="1">
      <alignment vertical="center"/>
    </xf>
    <xf numFmtId="164" fontId="0" fillId="5" borderId="7" xfId="1" applyNumberFormat="1" applyFont="1" applyFill="1" applyBorder="1" applyAlignment="1">
      <alignment vertical="center"/>
    </xf>
    <xf numFmtId="164" fontId="0" fillId="5" borderId="13" xfId="1" applyNumberFormat="1" applyFont="1" applyFill="1" applyBorder="1" applyAlignment="1">
      <alignment vertical="center"/>
    </xf>
    <xf numFmtId="164" fontId="0" fillId="5" borderId="14" xfId="1" applyNumberFormat="1" applyFont="1" applyFill="1" applyBorder="1" applyAlignment="1">
      <alignment vertical="center"/>
    </xf>
    <xf numFmtId="164" fontId="0" fillId="4" borderId="8" xfId="1" applyNumberFormat="1" applyFont="1" applyFill="1" applyBorder="1" applyAlignment="1">
      <alignment vertical="center"/>
    </xf>
    <xf numFmtId="0" fontId="0" fillId="3" borderId="6" xfId="0" applyFill="1" applyBorder="1" applyAlignment="1">
      <alignment vertical="center"/>
    </xf>
    <xf numFmtId="43" fontId="0" fillId="3" borderId="7" xfId="0" applyNumberFormat="1" applyFill="1" applyBorder="1" applyAlignment="1">
      <alignment vertical="center"/>
    </xf>
    <xf numFmtId="43" fontId="2" fillId="4" borderId="2" xfId="1" applyFont="1" applyFill="1" applyBorder="1" applyAlignment="1">
      <alignment vertical="center"/>
    </xf>
    <xf numFmtId="43" fontId="2" fillId="4" borderId="3" xfId="1" applyFont="1" applyFill="1" applyBorder="1" applyAlignment="1">
      <alignment vertical="center"/>
    </xf>
    <xf numFmtId="164" fontId="0" fillId="4" borderId="0" xfId="1" applyNumberFormat="1" applyFont="1" applyFill="1" applyBorder="1" applyAlignment="1">
      <alignment vertical="center"/>
    </xf>
    <xf numFmtId="43" fontId="2" fillId="4" borderId="15" xfId="1" applyFont="1" applyFill="1" applyBorder="1" applyAlignment="1">
      <alignment vertical="center"/>
    </xf>
    <xf numFmtId="43" fontId="0" fillId="4" borderId="0" xfId="1" applyFont="1" applyFill="1" applyBorder="1" applyAlignment="1">
      <alignment vertical="center"/>
    </xf>
    <xf numFmtId="0" fontId="0" fillId="4" borderId="13" xfId="0" applyFill="1" applyBorder="1" applyAlignment="1">
      <alignment vertical="center"/>
    </xf>
    <xf numFmtId="0" fontId="0" fillId="4" borderId="14" xfId="0" applyFill="1" applyBorder="1" applyAlignment="1">
      <alignment vertical="center"/>
    </xf>
    <xf numFmtId="164" fontId="0" fillId="4" borderId="10" xfId="1" applyNumberFormat="1" applyFont="1" applyFill="1" applyBorder="1" applyAlignment="1">
      <alignment vertical="center"/>
    </xf>
    <xf numFmtId="43" fontId="0" fillId="5" borderId="0" xfId="1" applyFont="1" applyFill="1" applyBorder="1" applyAlignment="1">
      <alignment vertical="center"/>
    </xf>
    <xf numFmtId="43" fontId="0" fillId="5" borderId="10" xfId="1" applyFont="1" applyFill="1" applyBorder="1" applyAlignment="1">
      <alignment vertical="center"/>
    </xf>
    <xf numFmtId="43" fontId="0" fillId="5" borderId="11" xfId="1" applyFont="1" applyFill="1" applyBorder="1" applyAlignment="1">
      <alignment vertical="center"/>
    </xf>
    <xf numFmtId="43" fontId="2" fillId="3" borderId="2" xfId="0" applyNumberFormat="1" applyFont="1" applyFill="1" applyBorder="1" applyAlignment="1">
      <alignment horizontal="left" vertical="center"/>
    </xf>
    <xf numFmtId="0" fontId="0" fillId="3" borderId="1" xfId="0" applyFill="1" applyBorder="1" applyAlignment="1">
      <alignment horizontal="right" vertical="center"/>
    </xf>
    <xf numFmtId="43" fontId="2" fillId="3" borderId="1" xfId="0" applyNumberFormat="1" applyFont="1" applyFill="1" applyBorder="1" applyAlignment="1">
      <alignment horizontal="right" vertical="center"/>
    </xf>
    <xf numFmtId="43" fontId="0" fillId="3" borderId="13" xfId="1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43" fontId="0" fillId="0" borderId="13" xfId="1" applyFont="1" applyBorder="1" applyAlignment="1">
      <alignment vertical="center"/>
    </xf>
    <xf numFmtId="0" fontId="0" fillId="6" borderId="0" xfId="0" applyFill="1" applyAlignment="1">
      <alignment vertical="center"/>
    </xf>
    <xf numFmtId="164" fontId="0" fillId="6" borderId="11" xfId="1" applyNumberFormat="1" applyFont="1" applyFill="1" applyBorder="1" applyAlignment="1">
      <alignment vertical="center"/>
    </xf>
    <xf numFmtId="164" fontId="0" fillId="6" borderId="1" xfId="1" applyNumberFormat="1" applyFont="1" applyFill="1" applyBorder="1" applyAlignment="1">
      <alignment vertical="center"/>
    </xf>
    <xf numFmtId="43" fontId="2" fillId="6" borderId="14" xfId="1" applyFont="1" applyFill="1" applyBorder="1" applyAlignment="1">
      <alignment vertical="center"/>
    </xf>
    <xf numFmtId="0" fontId="0" fillId="5" borderId="2" xfId="0" applyFill="1" applyBorder="1" applyAlignment="1">
      <alignment vertical="center"/>
    </xf>
    <xf numFmtId="164" fontId="0" fillId="5" borderId="15" xfId="1" applyNumberFormat="1" applyFont="1" applyFill="1" applyBorder="1" applyAlignment="1">
      <alignment vertical="center"/>
    </xf>
    <xf numFmtId="164" fontId="2" fillId="5" borderId="3" xfId="1" applyNumberFormat="1" applyFont="1" applyFill="1" applyBorder="1" applyAlignment="1">
      <alignment vertical="center"/>
    </xf>
    <xf numFmtId="43" fontId="0" fillId="5" borderId="15" xfId="1" applyFont="1" applyFill="1" applyBorder="1" applyAlignment="1">
      <alignment vertical="center"/>
    </xf>
    <xf numFmtId="166" fontId="0" fillId="0" borderId="0" xfId="1" applyNumberFormat="1" applyFont="1" applyAlignment="1">
      <alignment vertical="center"/>
    </xf>
    <xf numFmtId="0" fontId="2" fillId="6" borderId="4" xfId="0" applyFont="1" applyFill="1" applyBorder="1" applyAlignment="1">
      <alignment vertical="center"/>
    </xf>
    <xf numFmtId="0" fontId="0" fillId="6" borderId="6" xfId="0" applyFill="1" applyBorder="1" applyAlignment="1">
      <alignment vertical="center"/>
    </xf>
    <xf numFmtId="0" fontId="0" fillId="6" borderId="8" xfId="0" applyFill="1" applyBorder="1" applyAlignment="1">
      <alignment vertical="center"/>
    </xf>
    <xf numFmtId="164" fontId="0" fillId="6" borderId="10" xfId="1" applyNumberFormat="1" applyFont="1" applyFill="1" applyBorder="1" applyAlignment="1">
      <alignment vertical="center"/>
    </xf>
    <xf numFmtId="43" fontId="0" fillId="6" borderId="14" xfId="1" applyFont="1" applyFill="1" applyBorder="1" applyAlignment="1">
      <alignment vertical="center"/>
    </xf>
    <xf numFmtId="164" fontId="0" fillId="6" borderId="12" xfId="1" applyNumberFormat="1" applyFont="1" applyFill="1" applyBorder="1" applyAlignment="1">
      <alignment vertical="center"/>
    </xf>
    <xf numFmtId="0" fontId="0" fillId="6" borderId="12" xfId="0" applyFill="1" applyBorder="1" applyAlignment="1">
      <alignment vertical="center"/>
    </xf>
    <xf numFmtId="0" fontId="0" fillId="0" borderId="13" xfId="0" applyBorder="1" applyAlignment="1">
      <alignment vertical="center"/>
    </xf>
    <xf numFmtId="43" fontId="0" fillId="3" borderId="0" xfId="1" applyFont="1" applyFill="1" applyAlignment="1">
      <alignment horizontal="right" vertical="center"/>
    </xf>
    <xf numFmtId="0" fontId="0" fillId="3" borderId="0" xfId="0" applyFill="1" applyAlignment="1">
      <alignment vertical="center"/>
    </xf>
    <xf numFmtId="43" fontId="0" fillId="3" borderId="0" xfId="1" applyFont="1" applyFill="1" applyAlignment="1">
      <alignment vertical="center"/>
    </xf>
    <xf numFmtId="43" fontId="0" fillId="0" borderId="13" xfId="1" applyFont="1" applyBorder="1" applyAlignment="1">
      <alignment horizontal="right" vertical="center"/>
    </xf>
    <xf numFmtId="0" fontId="2" fillId="6" borderId="0" xfId="0" applyFont="1" applyFill="1" applyAlignment="1">
      <alignment vertical="center"/>
    </xf>
    <xf numFmtId="43" fontId="2" fillId="6" borderId="0" xfId="1" applyFont="1" applyFill="1" applyAlignment="1">
      <alignment vertical="center"/>
    </xf>
    <xf numFmtId="43" fontId="0" fillId="2" borderId="0" xfId="0" applyNumberFormat="1" applyFill="1" applyAlignment="1">
      <alignment horizontal="center" vertical="center"/>
    </xf>
    <xf numFmtId="43" fontId="0" fillId="2" borderId="0" xfId="1" applyFont="1" applyFill="1" applyBorder="1" applyAlignment="1">
      <alignment vertical="center"/>
    </xf>
    <xf numFmtId="43" fontId="2" fillId="2" borderId="0" xfId="0" applyNumberFormat="1" applyFont="1" applyFill="1" applyAlignment="1">
      <alignment horizontal="center" vertical="center"/>
    </xf>
    <xf numFmtId="43" fontId="2" fillId="2" borderId="0" xfId="0" applyNumberFormat="1" applyFont="1" applyFill="1" applyAlignment="1">
      <alignment horizontal="right" vertical="center"/>
    </xf>
    <xf numFmtId="0" fontId="0" fillId="7" borderId="2" xfId="0" applyFill="1" applyBorder="1" applyAlignment="1">
      <alignment vertical="center"/>
    </xf>
    <xf numFmtId="43" fontId="0" fillId="7" borderId="15" xfId="1" applyFont="1" applyFill="1" applyBorder="1" applyAlignment="1">
      <alignment vertical="center"/>
    </xf>
    <xf numFmtId="43" fontId="0" fillId="7" borderId="3" xfId="1" applyFont="1" applyFill="1" applyBorder="1" applyAlignment="1">
      <alignment vertical="center"/>
    </xf>
    <xf numFmtId="0" fontId="0" fillId="7" borderId="6" xfId="0" applyFill="1" applyBorder="1" applyAlignment="1">
      <alignment vertical="center"/>
    </xf>
    <xf numFmtId="43" fontId="1" fillId="7" borderId="0" xfId="1" applyFont="1" applyFill="1" applyBorder="1" applyAlignment="1">
      <alignment vertical="center"/>
    </xf>
    <xf numFmtId="43" fontId="0" fillId="7" borderId="0" xfId="1" applyFont="1" applyFill="1" applyBorder="1" applyAlignment="1">
      <alignment vertical="center"/>
    </xf>
    <xf numFmtId="0" fontId="0" fillId="7" borderId="8" xfId="0" applyFill="1" applyBorder="1" applyAlignment="1">
      <alignment vertical="center"/>
    </xf>
    <xf numFmtId="43" fontId="0" fillId="7" borderId="10" xfId="1" applyFont="1" applyFill="1" applyBorder="1" applyAlignment="1">
      <alignment vertical="center"/>
    </xf>
    <xf numFmtId="43" fontId="4" fillId="7" borderId="0" xfId="1" applyFont="1" applyFill="1" applyBorder="1" applyAlignment="1">
      <alignment vertical="center"/>
    </xf>
    <xf numFmtId="165" fontId="4" fillId="7" borderId="10" xfId="1" applyNumberFormat="1" applyFont="1" applyFill="1" applyBorder="1" applyAlignment="1">
      <alignment vertical="center"/>
    </xf>
    <xf numFmtId="43" fontId="4" fillId="7" borderId="7" xfId="1" applyFont="1" applyFill="1" applyBorder="1" applyAlignment="1">
      <alignment vertical="center"/>
    </xf>
    <xf numFmtId="43" fontId="4" fillId="7" borderId="9" xfId="1" applyFont="1" applyFill="1" applyBorder="1" applyAlignment="1">
      <alignment vertical="center"/>
    </xf>
    <xf numFmtId="43" fontId="5" fillId="7" borderId="15" xfId="1" applyFont="1" applyFill="1" applyBorder="1" applyAlignment="1">
      <alignment horizontal="right" vertical="center"/>
    </xf>
    <xf numFmtId="43" fontId="4" fillId="5" borderId="0" xfId="1" applyFont="1" applyFill="1" applyBorder="1" applyAlignment="1">
      <alignment vertical="center"/>
    </xf>
    <xf numFmtId="43" fontId="4" fillId="5" borderId="10" xfId="1" applyFont="1" applyFill="1" applyBorder="1" applyAlignment="1">
      <alignment vertical="center"/>
    </xf>
    <xf numFmtId="43" fontId="0" fillId="2" borderId="0" xfId="1" applyFont="1" applyFill="1" applyAlignment="1">
      <alignment horizontal="right" vertical="center"/>
    </xf>
    <xf numFmtId="43" fontId="0" fillId="2" borderId="0" xfId="0" applyNumberFormat="1" applyFill="1" applyAlignment="1">
      <alignment horizontal="right" vertical="center"/>
    </xf>
    <xf numFmtId="43" fontId="3" fillId="7" borderId="0" xfId="1" applyFont="1" applyFill="1" applyBorder="1" applyAlignment="1">
      <alignment horizontal="right" vertical="center"/>
    </xf>
    <xf numFmtId="43" fontId="3" fillId="7" borderId="10" xfId="1" applyFont="1" applyFill="1" applyBorder="1" applyAlignment="1">
      <alignment horizontal="right" vertical="center"/>
    </xf>
    <xf numFmtId="43" fontId="3" fillId="0" borderId="0" xfId="1" applyFont="1" applyAlignment="1">
      <alignment horizontal="right" vertical="center"/>
    </xf>
    <xf numFmtId="43" fontId="0" fillId="0" borderId="0" xfId="1" applyFont="1" applyAlignment="1">
      <alignment horizontal="right" vertical="center"/>
    </xf>
    <xf numFmtId="43" fontId="0" fillId="3" borderId="13" xfId="1" applyFont="1" applyFill="1" applyBorder="1" applyAlignment="1">
      <alignment horizontal="right" vertical="center"/>
    </xf>
    <xf numFmtId="43" fontId="2" fillId="4" borderId="15" xfId="1" applyFont="1" applyFill="1" applyBorder="1" applyAlignment="1">
      <alignment horizontal="right" vertical="center"/>
    </xf>
    <xf numFmtId="43" fontId="0" fillId="4" borderId="0" xfId="1" applyFont="1" applyFill="1" applyBorder="1" applyAlignment="1">
      <alignment horizontal="right" vertical="center"/>
    </xf>
    <xf numFmtId="164" fontId="0" fillId="4" borderId="0" xfId="1" applyNumberFormat="1" applyFont="1" applyFill="1" applyBorder="1" applyAlignment="1">
      <alignment horizontal="right" vertical="center"/>
    </xf>
    <xf numFmtId="164" fontId="0" fillId="4" borderId="10" xfId="1" applyNumberFormat="1" applyFont="1" applyFill="1" applyBorder="1" applyAlignment="1">
      <alignment horizontal="right" vertical="center"/>
    </xf>
    <xf numFmtId="164" fontId="0" fillId="0" borderId="0" xfId="1" applyNumberFormat="1" applyFont="1" applyBorder="1" applyAlignment="1">
      <alignment horizontal="right" vertical="center"/>
    </xf>
    <xf numFmtId="164" fontId="0" fillId="5" borderId="3" xfId="1" applyNumberFormat="1" applyFont="1" applyFill="1" applyBorder="1" applyAlignment="1">
      <alignment horizontal="right" vertical="center"/>
    </xf>
    <xf numFmtId="164" fontId="0" fillId="5" borderId="7" xfId="1" applyNumberFormat="1" applyFont="1" applyFill="1" applyBorder="1" applyAlignment="1">
      <alignment horizontal="right" vertical="center"/>
    </xf>
    <xf numFmtId="164" fontId="0" fillId="5" borderId="5" xfId="1" applyNumberFormat="1" applyFont="1" applyFill="1" applyBorder="1" applyAlignment="1">
      <alignment horizontal="right" vertical="center"/>
    </xf>
    <xf numFmtId="164" fontId="0" fillId="5" borderId="9" xfId="1" applyNumberFormat="1" applyFont="1" applyFill="1" applyBorder="1" applyAlignment="1">
      <alignment horizontal="right" vertical="center"/>
    </xf>
    <xf numFmtId="164" fontId="0" fillId="6" borderId="11" xfId="1" applyNumberFormat="1" applyFont="1" applyFill="1" applyBorder="1" applyAlignment="1">
      <alignment horizontal="right" vertical="center"/>
    </xf>
    <xf numFmtId="0" fontId="0" fillId="6" borderId="0" xfId="0" applyFill="1" applyAlignment="1">
      <alignment horizontal="right" vertical="center"/>
    </xf>
    <xf numFmtId="164" fontId="0" fillId="6" borderId="10" xfId="1" applyNumberFormat="1" applyFont="1" applyFill="1" applyBorder="1" applyAlignment="1">
      <alignment horizontal="right" vertical="center"/>
    </xf>
    <xf numFmtId="0" fontId="0" fillId="3" borderId="0" xfId="0" applyFill="1" applyAlignment="1">
      <alignment horizontal="right" vertical="center"/>
    </xf>
    <xf numFmtId="43" fontId="2" fillId="6" borderId="0" xfId="1" applyFont="1" applyFill="1" applyAlignment="1">
      <alignment horizontal="right" vertical="center"/>
    </xf>
    <xf numFmtId="0" fontId="0" fillId="8" borderId="0" xfId="0" applyFill="1"/>
    <xf numFmtId="0" fontId="0" fillId="2" borderId="0" xfId="0" applyFill="1"/>
    <xf numFmtId="0" fontId="8" fillId="2" borderId="0" xfId="0" applyFont="1" applyFill="1"/>
    <xf numFmtId="0" fontId="6" fillId="8" borderId="0" xfId="0" applyFont="1" applyFill="1" applyAlignment="1">
      <alignment horizontal="right"/>
    </xf>
    <xf numFmtId="0" fontId="9" fillId="2" borderId="0" xfId="0" applyFont="1" applyFill="1" applyAlignment="1">
      <alignment vertical="center"/>
    </xf>
    <xf numFmtId="0" fontId="6" fillId="2" borderId="0" xfId="0" applyFont="1" applyFill="1" applyAlignment="1">
      <alignment horizontal="right"/>
    </xf>
    <xf numFmtId="0" fontId="0" fillId="8" borderId="0" xfId="0" applyFill="1" applyAlignment="1">
      <alignment horizontal="right"/>
    </xf>
    <xf numFmtId="165" fontId="5" fillId="7" borderId="0" xfId="1" applyNumberFormat="1" applyFont="1" applyFill="1" applyBorder="1" applyAlignment="1">
      <alignment horizontal="right" vertical="center"/>
    </xf>
    <xf numFmtId="0" fontId="5" fillId="8" borderId="0" xfId="0" applyFont="1" applyFill="1" applyAlignment="1">
      <alignment horizontal="center" vertical="top"/>
    </xf>
    <xf numFmtId="0" fontId="11" fillId="2" borderId="0" xfId="0" applyFont="1" applyFill="1" applyAlignment="1">
      <alignment vertical="center"/>
    </xf>
    <xf numFmtId="0" fontId="13" fillId="2" borderId="0" xfId="0" applyFont="1" applyFill="1" applyAlignment="1" applyProtection="1">
      <alignment horizontal="center" vertical="center"/>
      <protection locked="0"/>
    </xf>
    <xf numFmtId="0" fontId="12" fillId="8" borderId="0" xfId="0" applyFont="1" applyFill="1" applyAlignment="1">
      <alignment horizontal="right" vertical="center"/>
    </xf>
    <xf numFmtId="0" fontId="11" fillId="8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2" fillId="8" borderId="0" xfId="0" applyFont="1" applyFill="1" applyAlignment="1">
      <alignment horizontal="center" vertical="center"/>
    </xf>
    <xf numFmtId="0" fontId="13" fillId="8" borderId="0" xfId="0" applyFont="1" applyFill="1" applyAlignment="1">
      <alignment horizontal="center" vertical="center"/>
    </xf>
    <xf numFmtId="0" fontId="12" fillId="8" borderId="16" xfId="0" applyFont="1" applyFill="1" applyBorder="1" applyAlignment="1">
      <alignment horizontal="center" vertical="center"/>
    </xf>
    <xf numFmtId="0" fontId="12" fillId="8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167" fontId="13" fillId="2" borderId="0" xfId="0" applyNumberFormat="1" applyFont="1" applyFill="1" applyAlignment="1" applyProtection="1">
      <alignment horizontal="center" vertical="center"/>
      <protection locked="0"/>
    </xf>
    <xf numFmtId="0" fontId="16" fillId="8" borderId="0" xfId="0" applyFont="1" applyFill="1" applyAlignment="1">
      <alignment horizontal="left" vertical="top"/>
    </xf>
    <xf numFmtId="165" fontId="0" fillId="0" borderId="0" xfId="1" applyNumberFormat="1" applyFont="1" applyBorder="1" applyAlignment="1">
      <alignment vertical="center"/>
    </xf>
    <xf numFmtId="164" fontId="0" fillId="0" borderId="0" xfId="1" applyNumberFormat="1" applyFont="1" applyAlignment="1">
      <alignment vertical="center"/>
    </xf>
    <xf numFmtId="164" fontId="0" fillId="4" borderId="7" xfId="1" applyNumberFormat="1" applyFont="1" applyFill="1" applyBorder="1" applyAlignment="1">
      <alignment horizontal="right" vertical="center"/>
    </xf>
    <xf numFmtId="165" fontId="17" fillId="8" borderId="0" xfId="0" applyNumberFormat="1" applyFont="1" applyFill="1" applyAlignment="1">
      <alignment horizontal="center" vertical="center"/>
    </xf>
    <xf numFmtId="165" fontId="14" fillId="8" borderId="0" xfId="0" applyNumberFormat="1" applyFont="1" applyFill="1" applyAlignment="1">
      <alignment horizontal="center" vertical="center"/>
    </xf>
    <xf numFmtId="0" fontId="0" fillId="0" borderId="4" xfId="0" applyBorder="1" applyAlignment="1">
      <alignment vertical="center"/>
    </xf>
    <xf numFmtId="43" fontId="0" fillId="0" borderId="11" xfId="1" applyFont="1" applyBorder="1" applyAlignment="1">
      <alignment vertical="center"/>
    </xf>
    <xf numFmtId="43" fontId="0" fillId="0" borderId="11" xfId="1" applyFont="1" applyBorder="1" applyAlignment="1">
      <alignment horizontal="right" vertical="center"/>
    </xf>
    <xf numFmtId="43" fontId="0" fillId="9" borderId="11" xfId="1" applyFont="1" applyFill="1" applyBorder="1" applyAlignment="1">
      <alignment vertical="center"/>
    </xf>
    <xf numFmtId="0" fontId="0" fillId="9" borderId="11" xfId="0" applyFill="1" applyBorder="1" applyAlignment="1">
      <alignment vertical="center"/>
    </xf>
    <xf numFmtId="43" fontId="0" fillId="0" borderId="0" xfId="1" applyFont="1" applyBorder="1" applyAlignment="1">
      <alignment vertical="center"/>
    </xf>
    <xf numFmtId="43" fontId="0" fillId="0" borderId="0" xfId="1" applyFont="1" applyBorder="1" applyAlignment="1">
      <alignment horizontal="right" vertical="center"/>
    </xf>
    <xf numFmtId="165" fontId="0" fillId="0" borderId="6" xfId="0" applyNumberFormat="1" applyBorder="1" applyAlignment="1">
      <alignment vertical="center"/>
    </xf>
    <xf numFmtId="165" fontId="0" fillId="0" borderId="0" xfId="1" applyNumberFormat="1" applyFont="1" applyBorder="1" applyAlignment="1">
      <alignment horizontal="right" vertical="center"/>
    </xf>
    <xf numFmtId="0" fontId="0" fillId="0" borderId="7" xfId="0" applyBorder="1" applyAlignment="1">
      <alignment vertical="center"/>
    </xf>
    <xf numFmtId="165" fontId="0" fillId="0" borderId="10" xfId="1" applyNumberFormat="1" applyFont="1" applyBorder="1" applyAlignment="1">
      <alignment vertical="center"/>
    </xf>
    <xf numFmtId="165" fontId="0" fillId="0" borderId="10" xfId="1" applyNumberFormat="1" applyFont="1" applyBorder="1" applyAlignment="1">
      <alignment horizontal="right" vertical="center"/>
    </xf>
    <xf numFmtId="43" fontId="0" fillId="0" borderId="10" xfId="1" applyFont="1" applyBorder="1" applyAlignment="1">
      <alignment vertical="center"/>
    </xf>
    <xf numFmtId="165" fontId="0" fillId="3" borderId="13" xfId="1" applyNumberFormat="1" applyFont="1" applyFill="1" applyBorder="1" applyAlignment="1">
      <alignment vertical="center"/>
    </xf>
    <xf numFmtId="43" fontId="4" fillId="0" borderId="0" xfId="1" applyFont="1" applyAlignment="1">
      <alignment vertical="center"/>
    </xf>
    <xf numFmtId="43" fontId="1" fillId="6" borderId="0" xfId="1" applyFont="1" applyFill="1" applyAlignment="1">
      <alignment vertical="center"/>
    </xf>
    <xf numFmtId="43" fontId="0" fillId="0" borderId="0" xfId="0" applyNumberFormat="1" applyAlignment="1">
      <alignment vertical="center"/>
    </xf>
    <xf numFmtId="43" fontId="0" fillId="10" borderId="0" xfId="0" applyNumberFormat="1" applyFill="1" applyAlignment="1">
      <alignment horizontal="center" vertical="center"/>
    </xf>
    <xf numFmtId="2" fontId="2" fillId="10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43" fontId="0" fillId="0" borderId="0" xfId="0" applyNumberFormat="1"/>
    <xf numFmtId="0" fontId="0" fillId="12" borderId="0" xfId="0" applyFill="1"/>
    <xf numFmtId="0" fontId="2" fillId="12" borderId="0" xfId="0" applyFont="1" applyFill="1"/>
    <xf numFmtId="2" fontId="0" fillId="0" borderId="0" xfId="0" applyNumberFormat="1"/>
    <xf numFmtId="0" fontId="0" fillId="0" borderId="0" xfId="0" applyAlignment="1">
      <alignment horizontal="right"/>
    </xf>
    <xf numFmtId="0" fontId="0" fillId="3" borderId="0" xfId="0" applyFill="1"/>
    <xf numFmtId="43" fontId="2" fillId="3" borderId="0" xfId="0" applyNumberFormat="1" applyFont="1" applyFill="1"/>
    <xf numFmtId="43" fontId="2" fillId="3" borderId="0" xfId="1" applyFont="1" applyFill="1" applyAlignment="1">
      <alignment vertical="center"/>
    </xf>
    <xf numFmtId="43" fontId="2" fillId="3" borderId="0" xfId="0" applyNumberFormat="1" applyFont="1" applyFill="1" applyAlignment="1">
      <alignment vertical="center"/>
    </xf>
    <xf numFmtId="0" fontId="2" fillId="3" borderId="0" xfId="0" applyFont="1" applyFill="1"/>
    <xf numFmtId="43" fontId="0" fillId="3" borderId="0" xfId="0" applyNumberFormat="1" applyFill="1"/>
    <xf numFmtId="43" fontId="0" fillId="12" borderId="0" xfId="1" applyFont="1" applyFill="1" applyAlignment="1">
      <alignment horizontal="right"/>
    </xf>
    <xf numFmtId="43" fontId="0" fillId="12" borderId="0" xfId="1" applyFont="1" applyFill="1"/>
    <xf numFmtId="43" fontId="2" fillId="12" borderId="0" xfId="1" applyFont="1" applyFill="1"/>
    <xf numFmtId="0" fontId="0" fillId="3" borderId="0" xfId="0" applyFill="1" applyAlignment="1">
      <alignment horizontal="right"/>
    </xf>
    <xf numFmtId="0" fontId="0" fillId="12" borderId="4" xfId="0" applyFill="1" applyBorder="1"/>
    <xf numFmtId="0" fontId="0" fillId="12" borderId="11" xfId="0" applyFill="1" applyBorder="1" applyAlignment="1">
      <alignment horizontal="right"/>
    </xf>
    <xf numFmtId="0" fontId="0" fillId="12" borderId="5" xfId="0" applyFill="1" applyBorder="1" applyAlignment="1">
      <alignment horizontal="right"/>
    </xf>
    <xf numFmtId="0" fontId="0" fillId="12" borderId="8" xfId="0" applyFill="1" applyBorder="1"/>
    <xf numFmtId="0" fontId="0" fillId="12" borderId="10" xfId="0" applyFill="1" applyBorder="1"/>
    <xf numFmtId="43" fontId="0" fillId="12" borderId="10" xfId="1" applyFont="1" applyFill="1" applyBorder="1"/>
    <xf numFmtId="0" fontId="0" fillId="0" borderId="11" xfId="0" applyBorder="1" applyAlignment="1">
      <alignment horizontal="right"/>
    </xf>
    <xf numFmtId="0" fontId="0" fillId="0" borderId="6" xfId="0" applyBorder="1"/>
    <xf numFmtId="0" fontId="0" fillId="0" borderId="8" xfId="0" applyBorder="1"/>
    <xf numFmtId="43" fontId="0" fillId="0" borderId="10" xfId="1" applyFont="1" applyBorder="1"/>
    <xf numFmtId="0" fontId="0" fillId="0" borderId="15" xfId="0" applyBorder="1"/>
    <xf numFmtId="0" fontId="0" fillId="0" borderId="3" xfId="0" applyBorder="1"/>
    <xf numFmtId="43" fontId="0" fillId="12" borderId="11" xfId="1" applyFont="1" applyFill="1" applyBorder="1"/>
    <xf numFmtId="0" fontId="0" fillId="12" borderId="2" xfId="0" applyFill="1" applyBorder="1"/>
    <xf numFmtId="0" fontId="0" fillId="12" borderId="11" xfId="0" applyFill="1" applyBorder="1"/>
    <xf numFmtId="0" fontId="0" fillId="0" borderId="10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/>
    <xf numFmtId="0" fontId="0" fillId="0" borderId="5" xfId="0" applyBorder="1" applyAlignment="1">
      <alignment horizontal="right"/>
    </xf>
    <xf numFmtId="43" fontId="0" fillId="0" borderId="9" xfId="1" applyFont="1" applyBorder="1"/>
    <xf numFmtId="0" fontId="0" fillId="12" borderId="9" xfId="0" applyFill="1" applyBorder="1"/>
    <xf numFmtId="0" fontId="0" fillId="0" borderId="4" xfId="0" applyBorder="1" applyAlignment="1">
      <alignment horizontal="right"/>
    </xf>
    <xf numFmtId="43" fontId="0" fillId="0" borderId="6" xfId="1" applyFont="1" applyBorder="1"/>
    <xf numFmtId="43" fontId="2" fillId="12" borderId="12" xfId="0" applyNumberFormat="1" applyFont="1" applyFill="1" applyBorder="1"/>
    <xf numFmtId="43" fontId="2" fillId="12" borderId="12" xfId="0" applyNumberFormat="1" applyFont="1" applyFill="1" applyBorder="1" applyAlignment="1">
      <alignment horizontal="right"/>
    </xf>
    <xf numFmtId="43" fontId="0" fillId="12" borderId="13" xfId="1" applyFont="1" applyFill="1" applyBorder="1"/>
    <xf numFmtId="43" fontId="2" fillId="12" borderId="12" xfId="1" applyFont="1" applyFill="1" applyBorder="1" applyAlignment="1">
      <alignment horizontal="right"/>
    </xf>
    <xf numFmtId="43" fontId="0" fillId="12" borderId="14" xfId="0" applyNumberFormat="1" applyFill="1" applyBorder="1"/>
    <xf numFmtId="0" fontId="0" fillId="0" borderId="13" xfId="0" applyBorder="1"/>
    <xf numFmtId="0" fontId="2" fillId="0" borderId="4" xfId="0" applyFont="1" applyBorder="1"/>
    <xf numFmtId="43" fontId="0" fillId="0" borderId="13" xfId="0" applyNumberFormat="1" applyBorder="1"/>
    <xf numFmtId="43" fontId="0" fillId="0" borderId="8" xfId="1" applyFont="1" applyBorder="1"/>
    <xf numFmtId="43" fontId="0" fillId="0" borderId="14" xfId="1" applyFont="1" applyBorder="1"/>
    <xf numFmtId="43" fontId="2" fillId="0" borderId="12" xfId="0" applyNumberFormat="1" applyFont="1" applyBorder="1"/>
    <xf numFmtId="0" fontId="2" fillId="0" borderId="0" xfId="0" applyFont="1"/>
    <xf numFmtId="169" fontId="2" fillId="12" borderId="0" xfId="1" applyNumberFormat="1" applyFont="1" applyFill="1"/>
    <xf numFmtId="43" fontId="0" fillId="0" borderId="0" xfId="1" applyFont="1"/>
    <xf numFmtId="0" fontId="0" fillId="0" borderId="4" xfId="0" applyBorder="1"/>
    <xf numFmtId="0" fontId="0" fillId="0" borderId="11" xfId="0" applyBorder="1"/>
    <xf numFmtId="164" fontId="0" fillId="0" borderId="11" xfId="1" applyNumberFormat="1" applyFont="1" applyBorder="1"/>
    <xf numFmtId="164" fontId="0" fillId="0" borderId="0" xfId="1" applyNumberFormat="1" applyFont="1" applyBorder="1"/>
    <xf numFmtId="43" fontId="0" fillId="0" borderId="0" xfId="1" applyFont="1" applyBorder="1"/>
    <xf numFmtId="43" fontId="0" fillId="3" borderId="0" xfId="1" applyFont="1" applyFill="1"/>
    <xf numFmtId="43" fontId="0" fillId="3" borderId="0" xfId="1" applyFont="1" applyFill="1" applyAlignment="1">
      <alignment horizontal="right"/>
    </xf>
    <xf numFmtId="43" fontId="2" fillId="3" borderId="0" xfId="1" applyFont="1" applyFill="1"/>
    <xf numFmtId="43" fontId="0" fillId="0" borderId="5" xfId="1" applyFont="1" applyBorder="1"/>
    <xf numFmtId="43" fontId="0" fillId="0" borderId="7" xfId="1" applyFont="1" applyBorder="1"/>
    <xf numFmtId="0" fontId="0" fillId="0" borderId="11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4" borderId="6" xfId="0" applyFill="1" applyBorder="1" applyAlignment="1">
      <alignment vertical="center"/>
    </xf>
    <xf numFmtId="165" fontId="18" fillId="0" borderId="0" xfId="1" applyNumberFormat="1" applyFont="1" applyFill="1" applyBorder="1" applyAlignment="1">
      <alignment vertical="center"/>
    </xf>
    <xf numFmtId="43" fontId="18" fillId="0" borderId="7" xfId="1" applyFont="1" applyFill="1" applyBorder="1" applyAlignment="1">
      <alignment horizontal="right" vertical="center"/>
    </xf>
    <xf numFmtId="43" fontId="0" fillId="4" borderId="0" xfId="1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12" borderId="4" xfId="0" applyFill="1" applyBorder="1" applyAlignment="1">
      <alignment horizontal="left" vertical="center"/>
    </xf>
    <xf numFmtId="0" fontId="0" fillId="12" borderId="11" xfId="0" applyFill="1" applyBorder="1" applyAlignment="1">
      <alignment vertical="center"/>
    </xf>
    <xf numFmtId="43" fontId="0" fillId="12" borderId="11" xfId="1" applyFont="1" applyFill="1" applyBorder="1" applyAlignment="1">
      <alignment horizontal="right" vertical="center"/>
    </xf>
    <xf numFmtId="0" fontId="2" fillId="12" borderId="8" xfId="0" applyFont="1" applyFill="1" applyBorder="1" applyAlignment="1">
      <alignment horizontal="left" vertical="center"/>
    </xf>
    <xf numFmtId="0" fontId="2" fillId="12" borderId="10" xfId="0" applyFont="1" applyFill="1" applyBorder="1" applyAlignment="1">
      <alignment vertical="center"/>
    </xf>
    <xf numFmtId="0" fontId="2" fillId="12" borderId="10" xfId="0" applyFont="1" applyFill="1" applyBorder="1" applyAlignment="1">
      <alignment horizontal="right" vertical="center"/>
    </xf>
    <xf numFmtId="43" fontId="2" fillId="12" borderId="9" xfId="1" applyFont="1" applyFill="1" applyBorder="1" applyAlignment="1">
      <alignment vertical="center"/>
    </xf>
    <xf numFmtId="0" fontId="0" fillId="11" borderId="4" xfId="0" applyFill="1" applyBorder="1" applyAlignment="1">
      <alignment horizontal="left" vertical="center"/>
    </xf>
    <xf numFmtId="0" fontId="0" fillId="11" borderId="11" xfId="0" applyFill="1" applyBorder="1" applyAlignment="1">
      <alignment vertical="center"/>
    </xf>
    <xf numFmtId="0" fontId="0" fillId="11" borderId="8" xfId="0" applyFill="1" applyBorder="1" applyAlignment="1">
      <alignment horizontal="center" vertical="center"/>
    </xf>
    <xf numFmtId="0" fontId="0" fillId="11" borderId="10" xfId="0" applyFill="1" applyBorder="1" applyAlignment="1">
      <alignment vertical="center"/>
    </xf>
    <xf numFmtId="43" fontId="2" fillId="11" borderId="10" xfId="1" applyFont="1" applyFill="1" applyBorder="1" applyAlignment="1">
      <alignment horizontal="right" vertical="center"/>
    </xf>
    <xf numFmtId="43" fontId="2" fillId="11" borderId="9" xfId="1" applyFont="1" applyFill="1" applyBorder="1" applyAlignment="1">
      <alignment vertical="center"/>
    </xf>
    <xf numFmtId="43" fontId="18" fillId="3" borderId="0" xfId="1" applyFont="1" applyFill="1" applyAlignment="1">
      <alignment horizontal="right" vertical="center"/>
    </xf>
    <xf numFmtId="43" fontId="18" fillId="3" borderId="7" xfId="1" applyFont="1" applyFill="1" applyBorder="1" applyAlignment="1">
      <alignment horizontal="right" vertical="center"/>
    </xf>
    <xf numFmtId="164" fontId="0" fillId="4" borderId="4" xfId="1" applyNumberFormat="1" applyFont="1" applyFill="1" applyBorder="1" applyAlignment="1">
      <alignment vertical="center"/>
    </xf>
    <xf numFmtId="43" fontId="0" fillId="4" borderId="11" xfId="1" applyFont="1" applyFill="1" applyBorder="1" applyAlignment="1">
      <alignment vertical="center"/>
    </xf>
    <xf numFmtId="43" fontId="2" fillId="4" borderId="10" xfId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43" fontId="0" fillId="12" borderId="0" xfId="0" applyNumberFormat="1" applyFill="1"/>
    <xf numFmtId="0" fontId="0" fillId="3" borderId="11" xfId="0" applyFill="1" applyBorder="1" applyAlignment="1">
      <alignment vertical="center"/>
    </xf>
    <xf numFmtId="0" fontId="0" fillId="3" borderId="6" xfId="0" applyFill="1" applyBorder="1" applyAlignment="1">
      <alignment horizontal="left" vertical="center"/>
    </xf>
    <xf numFmtId="43" fontId="19" fillId="12" borderId="5" xfId="1" applyFont="1" applyFill="1" applyBorder="1" applyAlignment="1">
      <alignment vertical="center"/>
    </xf>
    <xf numFmtId="43" fontId="19" fillId="11" borderId="5" xfId="1" applyFont="1" applyFill="1" applyBorder="1" applyAlignment="1">
      <alignment vertical="center"/>
    </xf>
    <xf numFmtId="0" fontId="0" fillId="3" borderId="11" xfId="0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/>
    </xf>
    <xf numFmtId="43" fontId="0" fillId="3" borderId="11" xfId="1" applyFont="1" applyFill="1" applyBorder="1" applyAlignment="1">
      <alignment vertical="center"/>
    </xf>
    <xf numFmtId="0" fontId="0" fillId="3" borderId="5" xfId="0" applyFill="1" applyBorder="1" applyAlignment="1">
      <alignment vertical="center"/>
    </xf>
    <xf numFmtId="43" fontId="0" fillId="3" borderId="0" xfId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43" fontId="2" fillId="3" borderId="0" xfId="1" applyFont="1" applyFill="1" applyBorder="1" applyAlignment="1">
      <alignment vertical="center"/>
    </xf>
    <xf numFmtId="0" fontId="0" fillId="12" borderId="6" xfId="0" applyFill="1" applyBorder="1" applyAlignment="1">
      <alignment horizontal="center" vertical="center"/>
    </xf>
    <xf numFmtId="0" fontId="0" fillId="12" borderId="0" xfId="0" applyFill="1" applyAlignment="1">
      <alignment vertical="center"/>
    </xf>
    <xf numFmtId="43" fontId="0" fillId="12" borderId="0" xfId="1" applyFont="1" applyFill="1" applyBorder="1" applyAlignment="1">
      <alignment vertical="center"/>
    </xf>
    <xf numFmtId="0" fontId="0" fillId="11" borderId="0" xfId="0" applyFill="1" applyAlignment="1">
      <alignment horizontal="center" vertical="center"/>
    </xf>
    <xf numFmtId="0" fontId="0" fillId="11" borderId="0" xfId="0" applyFill="1" applyAlignment="1">
      <alignment vertical="center"/>
    </xf>
    <xf numFmtId="43" fontId="0" fillId="11" borderId="0" xfId="1" applyFont="1" applyFill="1" applyBorder="1" applyAlignment="1">
      <alignment vertical="center"/>
    </xf>
    <xf numFmtId="43" fontId="0" fillId="11" borderId="7" xfId="0" applyNumberFormat="1" applyFill="1" applyBorder="1" applyAlignment="1">
      <alignment vertical="center"/>
    </xf>
    <xf numFmtId="0" fontId="0" fillId="3" borderId="11" xfId="0" applyFill="1" applyBorder="1" applyAlignment="1">
      <alignment horizontal="left" vertical="center"/>
    </xf>
    <xf numFmtId="0" fontId="2" fillId="13" borderId="15" xfId="0" applyFont="1" applyFill="1" applyBorder="1" applyAlignment="1">
      <alignment vertical="center"/>
    </xf>
    <xf numFmtId="43" fontId="0" fillId="0" borderId="0" xfId="1" applyFont="1" applyFill="1" applyBorder="1" applyAlignment="1">
      <alignment vertical="center"/>
    </xf>
    <xf numFmtId="43" fontId="0" fillId="3" borderId="0" xfId="1" applyFont="1" applyFill="1" applyBorder="1" applyAlignment="1">
      <alignment horizontal="right" vertical="center"/>
    </xf>
    <xf numFmtId="43" fontId="0" fillId="0" borderId="0" xfId="1" applyFont="1" applyFill="1" applyBorder="1" applyAlignment="1">
      <alignment horizontal="right" vertical="center"/>
    </xf>
    <xf numFmtId="43" fontId="2" fillId="0" borderId="0" xfId="1" applyFont="1" applyBorder="1" applyAlignment="1">
      <alignment vertical="center"/>
    </xf>
    <xf numFmtId="170" fontId="0" fillId="0" borderId="0" xfId="1" applyNumberFormat="1" applyFont="1" applyBorder="1" applyAlignment="1">
      <alignment vertical="center"/>
    </xf>
    <xf numFmtId="0" fontId="3" fillId="3" borderId="0" xfId="0" applyFont="1" applyFill="1" applyAlignment="1">
      <alignment vertical="center"/>
    </xf>
    <xf numFmtId="43" fontId="3" fillId="3" borderId="0" xfId="1" applyFont="1" applyFill="1" applyBorder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0" fillId="0" borderId="1" xfId="0" applyBorder="1" applyAlignment="1">
      <alignment vertical="center"/>
    </xf>
    <xf numFmtId="43" fontId="18" fillId="3" borderId="1" xfId="1" applyFont="1" applyFill="1" applyBorder="1" applyAlignment="1">
      <alignment horizontal="right" vertical="center"/>
    </xf>
    <xf numFmtId="164" fontId="0" fillId="4" borderId="1" xfId="1" applyNumberFormat="1" applyFont="1" applyFill="1" applyBorder="1" applyAlignment="1">
      <alignment vertical="center"/>
    </xf>
    <xf numFmtId="165" fontId="18" fillId="4" borderId="1" xfId="1" applyNumberFormat="1" applyFont="1" applyFill="1" applyBorder="1" applyAlignment="1">
      <alignment vertical="center"/>
    </xf>
    <xf numFmtId="0" fontId="20" fillId="0" borderId="0" xfId="0" applyFont="1" applyAlignment="1" applyProtection="1">
      <alignment vertical="center"/>
      <protection locked="0"/>
    </xf>
    <xf numFmtId="14" fontId="21" fillId="0" borderId="0" xfId="0" applyNumberFormat="1" applyFont="1" applyAlignment="1" applyProtection="1">
      <alignment horizontal="left" vertical="center"/>
      <protection locked="0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2" fillId="2" borderId="0" xfId="0" applyFont="1" applyFill="1"/>
    <xf numFmtId="43" fontId="0" fillId="0" borderId="1" xfId="1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43" fontId="1" fillId="3" borderId="0" xfId="1" applyFont="1" applyFill="1" applyBorder="1" applyAlignment="1">
      <alignment vertical="center"/>
    </xf>
    <xf numFmtId="43" fontId="0" fillId="0" borderId="13" xfId="1" applyFont="1" applyFill="1" applyBorder="1" applyAlignment="1">
      <alignment vertical="center"/>
    </xf>
    <xf numFmtId="43" fontId="0" fillId="0" borderId="10" xfId="0" applyNumberFormat="1" applyBorder="1" applyAlignment="1">
      <alignment vertical="center"/>
    </xf>
    <xf numFmtId="0" fontId="22" fillId="14" borderId="4" xfId="0" applyFont="1" applyFill="1" applyBorder="1" applyAlignment="1">
      <alignment vertical="center"/>
    </xf>
    <xf numFmtId="43" fontId="22" fillId="14" borderId="0" xfId="1" applyFont="1" applyFill="1" applyBorder="1" applyAlignment="1">
      <alignment vertical="center"/>
    </xf>
    <xf numFmtId="43" fontId="22" fillId="14" borderId="2" xfId="0" applyNumberFormat="1" applyFont="1" applyFill="1" applyBorder="1" applyAlignment="1">
      <alignment horizontal="right" vertical="center"/>
    </xf>
    <xf numFmtId="43" fontId="22" fillId="14" borderId="3" xfId="0" applyNumberFormat="1" applyFont="1" applyFill="1" applyBorder="1" applyAlignment="1">
      <alignment vertical="center"/>
    </xf>
    <xf numFmtId="43" fontId="2" fillId="0" borderId="4" xfId="0" applyNumberFormat="1" applyFont="1" applyBorder="1" applyAlignment="1">
      <alignment vertical="center"/>
    </xf>
    <xf numFmtId="43" fontId="2" fillId="0" borderId="11" xfId="1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43" fontId="0" fillId="0" borderId="11" xfId="0" applyNumberFormat="1" applyBorder="1" applyAlignment="1">
      <alignment horizontal="right" vertical="center"/>
    </xf>
    <xf numFmtId="43" fontId="2" fillId="0" borderId="8" xfId="0" applyNumberFormat="1" applyFont="1" applyBorder="1" applyAlignment="1">
      <alignment vertical="center"/>
    </xf>
    <xf numFmtId="43" fontId="2" fillId="0" borderId="10" xfId="1" applyFont="1" applyBorder="1" applyAlignment="1">
      <alignment horizontal="right"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43" fontId="0" fillId="0" borderId="4" xfId="0" applyNumberFormat="1" applyBorder="1" applyAlignment="1">
      <alignment vertical="center"/>
    </xf>
    <xf numFmtId="0" fontId="22" fillId="0" borderId="0" xfId="0" applyFont="1" applyAlignment="1">
      <alignment vertical="center"/>
    </xf>
    <xf numFmtId="43" fontId="22" fillId="0" borderId="0" xfId="0" applyNumberFormat="1" applyFont="1" applyAlignment="1">
      <alignment vertical="center"/>
    </xf>
    <xf numFmtId="43" fontId="22" fillId="0" borderId="0" xfId="1" applyFont="1" applyFill="1" applyBorder="1" applyAlignment="1">
      <alignment vertical="center"/>
    </xf>
    <xf numFmtId="0" fontId="22" fillId="14" borderId="8" xfId="0" applyFont="1" applyFill="1" applyBorder="1" applyAlignment="1">
      <alignment vertical="center"/>
    </xf>
    <xf numFmtId="43" fontId="0" fillId="0" borderId="7" xfId="1" applyFont="1" applyFill="1" applyBorder="1" applyAlignment="1">
      <alignment vertical="center"/>
    </xf>
    <xf numFmtId="43" fontId="0" fillId="0" borderId="11" xfId="1" applyFont="1" applyBorder="1"/>
    <xf numFmtId="0" fontId="5" fillId="14" borderId="0" xfId="0" applyFont="1" applyFill="1" applyAlignment="1">
      <alignment vertical="center"/>
    </xf>
    <xf numFmtId="0" fontId="22" fillId="14" borderId="0" xfId="0" applyFont="1" applyFill="1" applyAlignment="1">
      <alignment vertical="center"/>
    </xf>
    <xf numFmtId="43" fontId="22" fillId="14" borderId="0" xfId="0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0" fontId="0" fillId="3" borderId="20" xfId="0" applyFill="1" applyBorder="1" applyAlignment="1">
      <alignment horizontal="left" vertical="center"/>
    </xf>
    <xf numFmtId="0" fontId="0" fillId="3" borderId="21" xfId="0" applyFill="1" applyBorder="1" applyAlignment="1">
      <alignment vertical="center"/>
    </xf>
    <xf numFmtId="0" fontId="0" fillId="3" borderId="22" xfId="0" applyFill="1" applyBorder="1" applyAlignment="1">
      <alignment horizontal="left" vertical="center"/>
    </xf>
    <xf numFmtId="0" fontId="0" fillId="3" borderId="23" xfId="0" applyFill="1" applyBorder="1" applyAlignment="1">
      <alignment vertical="center"/>
    </xf>
    <xf numFmtId="0" fontId="2" fillId="13" borderId="24" xfId="0" applyFont="1" applyFill="1" applyBorder="1" applyAlignment="1">
      <alignment vertical="center"/>
    </xf>
    <xf numFmtId="0" fontId="2" fillId="13" borderId="25" xfId="0" applyFont="1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43" fontId="0" fillId="3" borderId="23" xfId="1" applyFont="1" applyFill="1" applyBorder="1" applyAlignment="1">
      <alignment vertical="center"/>
    </xf>
    <xf numFmtId="43" fontId="0" fillId="3" borderId="23" xfId="1" applyFont="1" applyFill="1" applyBorder="1" applyAlignment="1">
      <alignment horizontal="right" vertical="center"/>
    </xf>
    <xf numFmtId="0" fontId="22" fillId="14" borderId="22" xfId="0" applyFont="1" applyFill="1" applyBorder="1" applyAlignment="1">
      <alignment vertical="center"/>
    </xf>
    <xf numFmtId="43" fontId="22" fillId="14" borderId="23" xfId="1" applyFont="1" applyFill="1" applyBorder="1" applyAlignment="1">
      <alignment vertical="center"/>
    </xf>
    <xf numFmtId="43" fontId="1" fillId="3" borderId="23" xfId="1" applyFont="1" applyFill="1" applyBorder="1" applyAlignment="1">
      <alignment vertical="center"/>
    </xf>
    <xf numFmtId="0" fontId="0" fillId="0" borderId="22" xfId="0" applyBorder="1" applyAlignment="1">
      <alignment vertical="center"/>
    </xf>
    <xf numFmtId="43" fontId="0" fillId="0" borderId="23" xfId="1" applyFont="1" applyBorder="1" applyAlignment="1">
      <alignment vertical="center"/>
    </xf>
    <xf numFmtId="43" fontId="2" fillId="0" borderId="23" xfId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0" fillId="0" borderId="21" xfId="0" applyBorder="1" applyAlignment="1">
      <alignment horizontal="right" vertical="center"/>
    </xf>
    <xf numFmtId="43" fontId="22" fillId="14" borderId="21" xfId="0" applyNumberFormat="1" applyFont="1" applyFill="1" applyBorder="1" applyAlignment="1">
      <alignment vertical="center"/>
    </xf>
    <xf numFmtId="43" fontId="0" fillId="0" borderId="23" xfId="1" applyFont="1" applyBorder="1" applyAlignment="1">
      <alignment horizontal="right" vertical="center"/>
    </xf>
    <xf numFmtId="43" fontId="22" fillId="14" borderId="27" xfId="0" applyNumberFormat="1" applyFont="1" applyFill="1" applyBorder="1" applyAlignment="1">
      <alignment vertical="center"/>
    </xf>
    <xf numFmtId="0" fontId="0" fillId="0" borderId="23" xfId="0" applyBorder="1" applyAlignment="1">
      <alignment horizontal="right" vertical="center"/>
    </xf>
    <xf numFmtId="0" fontId="22" fillId="14" borderId="31" xfId="0" applyFont="1" applyFill="1" applyBorder="1" applyAlignment="1">
      <alignment vertical="center"/>
    </xf>
    <xf numFmtId="43" fontId="22" fillId="14" borderId="32" xfId="0" applyNumberFormat="1" applyFont="1" applyFill="1" applyBorder="1" applyAlignment="1">
      <alignment vertical="center"/>
    </xf>
    <xf numFmtId="0" fontId="0" fillId="0" borderId="12" xfId="0" applyBorder="1" applyAlignment="1">
      <alignment horizontal="right" vertical="center"/>
    </xf>
    <xf numFmtId="43" fontId="22" fillId="14" borderId="12" xfId="0" applyNumberFormat="1" applyFont="1" applyFill="1" applyBorder="1" applyAlignment="1">
      <alignment vertical="center"/>
    </xf>
    <xf numFmtId="43" fontId="0" fillId="0" borderId="13" xfId="0" applyNumberFormat="1" applyBorder="1" applyAlignment="1">
      <alignment vertical="center"/>
    </xf>
    <xf numFmtId="43" fontId="22" fillId="14" borderId="14" xfId="0" applyNumberFormat="1" applyFont="1" applyFill="1" applyBorder="1" applyAlignment="1">
      <alignment vertical="center"/>
    </xf>
    <xf numFmtId="0" fontId="0" fillId="0" borderId="13" xfId="0" applyBorder="1" applyAlignment="1">
      <alignment horizontal="right" vertical="center"/>
    </xf>
    <xf numFmtId="43" fontId="22" fillId="14" borderId="12" xfId="1" applyFont="1" applyFill="1" applyBorder="1" applyAlignment="1">
      <alignment horizontal="right" vertical="center"/>
    </xf>
    <xf numFmtId="43" fontId="22" fillId="14" borderId="14" xfId="1" applyFont="1" applyFill="1" applyBorder="1" applyAlignment="1">
      <alignment vertical="center"/>
    </xf>
    <xf numFmtId="0" fontId="22" fillId="14" borderId="15" xfId="0" applyFont="1" applyFill="1" applyBorder="1" applyAlignment="1">
      <alignment horizontal="left" vertical="center" indent="1"/>
    </xf>
    <xf numFmtId="0" fontId="22" fillId="9" borderId="15" xfId="0" applyFont="1" applyFill="1" applyBorder="1" applyAlignment="1" applyProtection="1">
      <alignment horizontal="left" vertical="center" indent="1"/>
      <protection locked="0"/>
    </xf>
    <xf numFmtId="0" fontId="22" fillId="9" borderId="15" xfId="0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10" xfId="0" applyFont="1" applyBorder="1" applyAlignment="1">
      <alignment vertical="center"/>
    </xf>
    <xf numFmtId="0" fontId="20" fillId="0" borderId="11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168" fontId="21" fillId="0" borderId="10" xfId="0" applyNumberFormat="1" applyFont="1" applyBorder="1" applyAlignment="1">
      <alignment horizontal="left" vertical="center"/>
    </xf>
    <xf numFmtId="168" fontId="20" fillId="0" borderId="0" xfId="0" applyNumberFormat="1" applyFont="1" applyAlignment="1">
      <alignment horizontal="left" vertical="center"/>
    </xf>
    <xf numFmtId="168" fontId="21" fillId="0" borderId="0" xfId="0" applyNumberFormat="1" applyFont="1" applyAlignment="1">
      <alignment horizontal="left" vertical="center"/>
    </xf>
    <xf numFmtId="0" fontId="23" fillId="0" borderId="0" xfId="0" applyFont="1" applyAlignment="1">
      <alignment vertical="center"/>
    </xf>
    <xf numFmtId="165" fontId="19" fillId="0" borderId="0" xfId="1" applyNumberFormat="1" applyFont="1"/>
    <xf numFmtId="0" fontId="19" fillId="0" borderId="0" xfId="0" applyFont="1"/>
    <xf numFmtId="165" fontId="19" fillId="15" borderId="0" xfId="1" applyNumberFormat="1" applyFont="1" applyFill="1"/>
    <xf numFmtId="0" fontId="19" fillId="15" borderId="0" xfId="0" applyFont="1" applyFill="1"/>
    <xf numFmtId="165" fontId="19" fillId="16" borderId="1" xfId="1" applyNumberFormat="1" applyFont="1" applyFill="1" applyBorder="1"/>
    <xf numFmtId="165" fontId="19" fillId="3" borderId="1" xfId="1" applyNumberFormat="1" applyFont="1" applyFill="1" applyBorder="1"/>
    <xf numFmtId="43" fontId="19" fillId="0" borderId="0" xfId="1" applyFont="1"/>
    <xf numFmtId="0" fontId="19" fillId="0" borderId="4" xfId="0" applyFont="1" applyBorder="1"/>
    <xf numFmtId="165" fontId="19" fillId="0" borderId="11" xfId="1" applyNumberFormat="1" applyFont="1" applyBorder="1"/>
    <xf numFmtId="0" fontId="19" fillId="0" borderId="11" xfId="0" applyFont="1" applyBorder="1"/>
    <xf numFmtId="43" fontId="19" fillId="0" borderId="11" xfId="1" applyFont="1" applyBorder="1"/>
    <xf numFmtId="165" fontId="19" fillId="3" borderId="11" xfId="1" applyNumberFormat="1" applyFont="1" applyFill="1" applyBorder="1" applyAlignment="1">
      <alignment horizontal="right"/>
    </xf>
    <xf numFmtId="0" fontId="19" fillId="0" borderId="11" xfId="0" applyFont="1" applyBorder="1" applyAlignment="1">
      <alignment horizontal="right"/>
    </xf>
    <xf numFmtId="165" fontId="19" fillId="0" borderId="11" xfId="1" applyNumberFormat="1" applyFont="1" applyBorder="1" applyAlignment="1">
      <alignment horizontal="right"/>
    </xf>
    <xf numFmtId="0" fontId="19" fillId="0" borderId="5" xfId="0" applyFont="1" applyBorder="1" applyAlignment="1">
      <alignment horizontal="right"/>
    </xf>
    <xf numFmtId="0" fontId="19" fillId="5" borderId="6" xfId="0" applyFont="1" applyFill="1" applyBorder="1"/>
    <xf numFmtId="165" fontId="19" fillId="5" borderId="0" xfId="1" applyNumberFormat="1" applyFont="1" applyFill="1" applyBorder="1"/>
    <xf numFmtId="0" fontId="19" fillId="5" borderId="0" xfId="0" applyFont="1" applyFill="1"/>
    <xf numFmtId="43" fontId="19" fillId="5" borderId="0" xfId="1" applyFont="1" applyFill="1" applyBorder="1"/>
    <xf numFmtId="165" fontId="19" fillId="0" borderId="0" xfId="1" applyNumberFormat="1" applyFont="1" applyBorder="1"/>
    <xf numFmtId="165" fontId="19" fillId="15" borderId="0" xfId="1" applyNumberFormat="1" applyFont="1" applyFill="1" applyBorder="1"/>
    <xf numFmtId="165" fontId="19" fillId="16" borderId="0" xfId="1" applyNumberFormat="1" applyFont="1" applyFill="1" applyBorder="1"/>
    <xf numFmtId="165" fontId="19" fillId="0" borderId="0" xfId="1" applyNumberFormat="1" applyFont="1" applyFill="1" applyBorder="1" applyAlignment="1">
      <alignment horizontal="right"/>
    </xf>
    <xf numFmtId="0" fontId="19" fillId="0" borderId="0" xfId="0" applyFont="1" applyAlignment="1">
      <alignment horizontal="right"/>
    </xf>
    <xf numFmtId="43" fontId="19" fillId="5" borderId="0" xfId="1" applyFont="1" applyFill="1" applyBorder="1" applyAlignment="1">
      <alignment horizontal="right"/>
    </xf>
    <xf numFmtId="165" fontId="19" fillId="15" borderId="0" xfId="1" applyNumberFormat="1" applyFont="1" applyFill="1" applyBorder="1" applyAlignment="1">
      <alignment horizontal="right"/>
    </xf>
    <xf numFmtId="165" fontId="19" fillId="0" borderId="0" xfId="1" applyNumberFormat="1" applyFont="1" applyBorder="1" applyAlignment="1">
      <alignment horizontal="right"/>
    </xf>
    <xf numFmtId="0" fontId="19" fillId="0" borderId="7" xfId="0" applyFont="1" applyBorder="1"/>
    <xf numFmtId="43" fontId="19" fillId="0" borderId="0" xfId="1" applyFont="1" applyBorder="1"/>
    <xf numFmtId="165" fontId="19" fillId="3" borderId="0" xfId="1" applyNumberFormat="1" applyFont="1" applyFill="1" applyBorder="1"/>
    <xf numFmtId="43" fontId="19" fillId="15" borderId="0" xfId="1" applyFont="1" applyFill="1" applyBorder="1"/>
    <xf numFmtId="0" fontId="19" fillId="5" borderId="8" xfId="0" applyFont="1" applyFill="1" applyBorder="1"/>
    <xf numFmtId="165" fontId="19" fillId="0" borderId="10" xfId="1" applyNumberFormat="1" applyFont="1" applyBorder="1"/>
    <xf numFmtId="0" fontId="19" fillId="0" borderId="10" xfId="0" applyFont="1" applyBorder="1"/>
    <xf numFmtId="43" fontId="19" fillId="0" borderId="10" xfId="1" applyFont="1" applyBorder="1"/>
    <xf numFmtId="165" fontId="19" fillId="15" borderId="10" xfId="1" applyNumberFormat="1" applyFont="1" applyFill="1" applyBorder="1"/>
    <xf numFmtId="165" fontId="19" fillId="3" borderId="10" xfId="1" applyNumberFormat="1" applyFont="1" applyFill="1" applyBorder="1"/>
    <xf numFmtId="43" fontId="19" fillId="15" borderId="10" xfId="1" applyFont="1" applyFill="1" applyBorder="1"/>
    <xf numFmtId="0" fontId="19" fillId="0" borderId="9" xfId="0" applyFont="1" applyBorder="1"/>
    <xf numFmtId="0" fontId="5" fillId="2" borderId="0" xfId="0" applyFont="1" applyFill="1" applyAlignment="1">
      <alignment horizontal="center" vertical="top"/>
    </xf>
    <xf numFmtId="0" fontId="16" fillId="2" borderId="0" xfId="0" applyFont="1" applyFill="1" applyAlignment="1">
      <alignment horizontal="left" vertical="top"/>
    </xf>
    <xf numFmtId="0" fontId="0" fillId="2" borderId="0" xfId="0" applyFill="1" applyAlignment="1">
      <alignment horizontal="right"/>
    </xf>
    <xf numFmtId="0" fontId="12" fillId="2" borderId="0" xfId="0" applyFont="1" applyFill="1" applyAlignment="1">
      <alignment horizontal="right" vertical="center"/>
    </xf>
    <xf numFmtId="0" fontId="13" fillId="2" borderId="0" xfId="0" applyFont="1" applyFill="1" applyAlignment="1">
      <alignment horizontal="center" vertical="center"/>
    </xf>
    <xf numFmtId="165" fontId="17" fillId="2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12" fillId="2" borderId="16" xfId="0" applyFont="1" applyFill="1" applyBorder="1" applyAlignment="1">
      <alignment horizontal="center" vertical="center"/>
    </xf>
    <xf numFmtId="165" fontId="14" fillId="2" borderId="0" xfId="0" applyNumberFormat="1" applyFont="1" applyFill="1" applyAlignment="1">
      <alignment horizontal="center" vertical="center"/>
    </xf>
    <xf numFmtId="167" fontId="13" fillId="2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172" fontId="0" fillId="0" borderId="0" xfId="0" applyNumberFormat="1" applyAlignment="1">
      <alignment vertical="center"/>
    </xf>
    <xf numFmtId="165" fontId="0" fillId="0" borderId="1" xfId="0" applyNumberFormat="1" applyBorder="1" applyAlignment="1">
      <alignment vertical="center"/>
    </xf>
    <xf numFmtId="43" fontId="0" fillId="0" borderId="1" xfId="1" applyFont="1" applyBorder="1" applyAlignment="1">
      <alignment horizontal="right" vertical="center"/>
    </xf>
    <xf numFmtId="0" fontId="25" fillId="0" borderId="1" xfId="0" applyFont="1" applyBorder="1"/>
    <xf numFmtId="43" fontId="25" fillId="0" borderId="1" xfId="1" applyFont="1" applyBorder="1"/>
    <xf numFmtId="0" fontId="10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right" vertical="center"/>
    </xf>
    <xf numFmtId="0" fontId="13" fillId="2" borderId="0" xfId="0" applyFont="1" applyFill="1" applyAlignment="1">
      <alignment horizontal="center" vertical="center"/>
    </xf>
    <xf numFmtId="167" fontId="13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68" fontId="7" fillId="2" borderId="0" xfId="0" applyNumberFormat="1" applyFont="1" applyFill="1" applyAlignment="1">
      <alignment horizontal="center" vertical="center"/>
    </xf>
    <xf numFmtId="0" fontId="7" fillId="8" borderId="0" xfId="0" applyFont="1" applyFill="1" applyAlignment="1">
      <alignment horizontal="center" vertical="center"/>
    </xf>
    <xf numFmtId="168" fontId="7" fillId="8" borderId="0" xfId="0" applyNumberFormat="1" applyFont="1" applyFill="1" applyAlignment="1">
      <alignment horizontal="center" vertical="center"/>
    </xf>
    <xf numFmtId="172" fontId="13" fillId="2" borderId="0" xfId="0" applyNumberFormat="1" applyFont="1" applyFill="1" applyAlignment="1" applyProtection="1">
      <alignment horizontal="center" vertical="center"/>
      <protection locked="0"/>
    </xf>
    <xf numFmtId="0" fontId="12" fillId="8" borderId="0" xfId="0" applyFont="1" applyFill="1" applyAlignment="1">
      <alignment horizontal="right" vertical="center"/>
    </xf>
    <xf numFmtId="0" fontId="13" fillId="2" borderId="0" xfId="0" applyFont="1" applyFill="1" applyAlignment="1" applyProtection="1">
      <alignment horizontal="center" vertical="center"/>
      <protection locked="0"/>
    </xf>
    <xf numFmtId="0" fontId="0" fillId="3" borderId="0" xfId="0" applyFill="1" applyAlignment="1">
      <alignment horizontal="left" vertical="center"/>
    </xf>
    <xf numFmtId="171" fontId="0" fillId="3" borderId="0" xfId="0" applyNumberFormat="1" applyFill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22" fillId="14" borderId="17" xfId="0" applyFont="1" applyFill="1" applyBorder="1" applyAlignment="1">
      <alignment horizontal="center" vertical="center"/>
    </xf>
    <xf numFmtId="0" fontId="22" fillId="14" borderId="18" xfId="0" applyFont="1" applyFill="1" applyBorder="1" applyAlignment="1">
      <alignment horizontal="center" vertical="center"/>
    </xf>
    <xf numFmtId="0" fontId="22" fillId="14" borderId="19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43" fontId="2" fillId="2" borderId="0" xfId="0" applyNumberFormat="1" applyFont="1" applyFill="1" applyAlignment="1">
      <alignment horizontal="right" vertical="center"/>
    </xf>
    <xf numFmtId="43" fontId="0" fillId="4" borderId="6" xfId="1" applyFont="1" applyFill="1" applyBorder="1" applyAlignment="1">
      <alignment horizontal="center" vertical="center"/>
    </xf>
    <xf numFmtId="43" fontId="0" fillId="4" borderId="7" xfId="1" applyFont="1" applyFill="1" applyBorder="1" applyAlignment="1">
      <alignment horizontal="center" vertical="center"/>
    </xf>
    <xf numFmtId="43" fontId="0" fillId="4" borderId="0" xfId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3" fontId="2" fillId="10" borderId="2" xfId="0" applyNumberFormat="1" applyFont="1" applyFill="1" applyBorder="1" applyAlignment="1">
      <alignment horizontal="right" vertical="center"/>
    </xf>
    <xf numFmtId="0" fontId="2" fillId="10" borderId="3" xfId="0" applyFont="1" applyFill="1" applyBorder="1" applyAlignment="1">
      <alignment horizontal="right" vertical="center"/>
    </xf>
    <xf numFmtId="43" fontId="0" fillId="2" borderId="0" xfId="0" applyNumberFormat="1" applyFill="1" applyAlignment="1">
      <alignment horizontal="center" vertical="center"/>
    </xf>
    <xf numFmtId="43" fontId="0" fillId="10" borderId="0" xfId="0" applyNumberFormat="1" applyFill="1" applyAlignment="1">
      <alignment horizontal="center" vertic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colors>
    <mruColors>
      <color rgb="FFF9718E"/>
      <color rgb="FFFDCFFE"/>
      <color rgb="FFFFF8E5"/>
      <color rgb="FF5AC8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6</xdr:row>
      <xdr:rowOff>180975</xdr:rowOff>
    </xdr:from>
    <xdr:to>
      <xdr:col>2</xdr:col>
      <xdr:colOff>960120</xdr:colOff>
      <xdr:row>13</xdr:row>
      <xdr:rowOff>12246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1" y="1257300"/>
          <a:ext cx="1617344" cy="1155246"/>
        </a:xfrm>
        <a:prstGeom prst="rect">
          <a:avLst/>
        </a:prstGeom>
      </xdr:spPr>
    </xdr:pic>
    <xdr:clientData/>
  </xdr:twoCellAnchor>
  <xdr:twoCellAnchor editAs="oneCell">
    <xdr:from>
      <xdr:col>3</xdr:col>
      <xdr:colOff>800100</xdr:colOff>
      <xdr:row>6</xdr:row>
      <xdr:rowOff>180975</xdr:rowOff>
    </xdr:from>
    <xdr:to>
      <xdr:col>6</xdr:col>
      <xdr:colOff>1904</xdr:colOff>
      <xdr:row>13</xdr:row>
      <xdr:rowOff>21770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6050" y="1257300"/>
          <a:ext cx="1630679" cy="1164770"/>
        </a:xfrm>
        <a:prstGeom prst="rect">
          <a:avLst/>
        </a:prstGeom>
      </xdr:spPr>
    </xdr:pic>
    <xdr:clientData/>
  </xdr:twoCellAnchor>
  <xdr:twoCellAnchor editAs="oneCell">
    <xdr:from>
      <xdr:col>7</xdr:col>
      <xdr:colOff>9524</xdr:colOff>
      <xdr:row>6</xdr:row>
      <xdr:rowOff>180974</xdr:rowOff>
    </xdr:from>
    <xdr:to>
      <xdr:col>9</xdr:col>
      <xdr:colOff>1</xdr:colOff>
      <xdr:row>13</xdr:row>
      <xdr:rowOff>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3974" y="1257299"/>
          <a:ext cx="1600202" cy="11430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2</xdr:row>
      <xdr:rowOff>19050</xdr:rowOff>
    </xdr:from>
    <xdr:to>
      <xdr:col>1</xdr:col>
      <xdr:colOff>1503045</xdr:colOff>
      <xdr:row>7</xdr:row>
      <xdr:rowOff>126546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400050"/>
          <a:ext cx="1483995" cy="1059996"/>
        </a:xfrm>
        <a:prstGeom prst="rect">
          <a:avLst/>
        </a:prstGeom>
      </xdr:spPr>
    </xdr:pic>
    <xdr:clientData/>
  </xdr:twoCellAnchor>
  <xdr:twoCellAnchor editAs="oneCell">
    <xdr:from>
      <xdr:col>3</xdr:col>
      <xdr:colOff>28576</xdr:colOff>
      <xdr:row>2</xdr:row>
      <xdr:rowOff>19049</xdr:rowOff>
    </xdr:from>
    <xdr:to>
      <xdr:col>4</xdr:col>
      <xdr:colOff>744856</xdr:colOff>
      <xdr:row>7</xdr:row>
      <xdr:rowOff>136070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6101" y="400049"/>
          <a:ext cx="1497330" cy="1069521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2</xdr:row>
      <xdr:rowOff>19049</xdr:rowOff>
    </xdr:from>
    <xdr:to>
      <xdr:col>7</xdr:col>
      <xdr:colOff>752475</xdr:colOff>
      <xdr:row>7</xdr:row>
      <xdr:rowOff>134710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400049"/>
          <a:ext cx="1495425" cy="106816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PAC-NAS01\Daten\%23recycle\0%20coolator2201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ycut"/>
      <sheetName val="kalkulation"/>
      <sheetName val="angebot"/>
      <sheetName val="bestellung"/>
      <sheetName val="material"/>
      <sheetName val="schneiden"/>
      <sheetName val="drucken"/>
      <sheetName val="kleben"/>
      <sheetName val="verschluss"/>
      <sheetName val="bogenpreise"/>
      <sheetName val="facts"/>
    </sheetNames>
    <sheetDataSet>
      <sheetData sheetId="0"/>
      <sheetData sheetId="1"/>
      <sheetData sheetId="2"/>
      <sheetData sheetId="3"/>
      <sheetData sheetId="4">
        <row r="2">
          <cell r="AF2">
            <v>20</v>
          </cell>
          <cell r="AR2">
            <v>20</v>
          </cell>
          <cell r="BD2">
            <v>20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182"/>
  <sheetViews>
    <sheetView tabSelected="1" workbookViewId="0">
      <selection activeCell="D19" sqref="D19"/>
    </sheetView>
  </sheetViews>
  <sheetFormatPr baseColWidth="10" defaultColWidth="12.140625" defaultRowHeight="15"/>
  <cols>
    <col min="1" max="1" width="1.42578125" style="105" customWidth="1"/>
    <col min="2" max="2" width="9.85546875" customWidth="1"/>
    <col min="3" max="3" width="14.42578125" customWidth="1"/>
    <col min="5" max="5" width="5.7109375" customWidth="1"/>
    <col min="6" max="6" width="18.5703125" customWidth="1"/>
    <col min="7" max="7" width="12.140625" customWidth="1"/>
    <col min="9" max="9" width="12" customWidth="1"/>
    <col min="10" max="18" width="12.140625" style="105"/>
    <col min="19" max="19" width="9.85546875" customWidth="1"/>
    <col min="22" max="22" width="5.7109375" customWidth="1"/>
    <col min="23" max="23" width="18.5703125" customWidth="1"/>
    <col min="26" max="26" width="12" customWidth="1"/>
    <col min="27" max="34" width="12.140625" style="105"/>
  </cols>
  <sheetData>
    <row r="1" spans="2:26" s="105" customFormat="1" ht="12" customHeight="1"/>
    <row r="2" spans="2:26" ht="15" customHeight="1">
      <c r="B2" s="418" t="s">
        <v>305</v>
      </c>
      <c r="C2" s="418"/>
      <c r="D2" s="418"/>
      <c r="E2" s="418"/>
      <c r="F2" s="418"/>
      <c r="G2" s="418"/>
      <c r="H2" s="418"/>
      <c r="I2" s="418"/>
      <c r="S2" s="416"/>
      <c r="T2" s="416"/>
      <c r="U2" s="416"/>
      <c r="V2" s="416"/>
      <c r="W2" s="416"/>
      <c r="X2" s="416"/>
      <c r="Y2" s="416"/>
      <c r="Z2" s="416"/>
    </row>
    <row r="3" spans="2:26" ht="15" customHeight="1">
      <c r="B3" s="418"/>
      <c r="C3" s="418"/>
      <c r="D3" s="418"/>
      <c r="E3" s="418"/>
      <c r="F3" s="418"/>
      <c r="G3" s="418"/>
      <c r="H3" s="418"/>
      <c r="I3" s="418"/>
      <c r="S3" s="416"/>
      <c r="T3" s="416"/>
      <c r="U3" s="416"/>
      <c r="V3" s="416"/>
      <c r="W3" s="416"/>
      <c r="X3" s="416"/>
      <c r="Y3" s="416"/>
      <c r="Z3" s="416"/>
    </row>
    <row r="4" spans="2:26" s="105" customFormat="1" ht="12" customHeight="1">
      <c r="B4" s="108"/>
      <c r="C4" s="108"/>
      <c r="D4" s="108"/>
      <c r="E4" s="108"/>
      <c r="F4" s="108"/>
      <c r="G4" s="108"/>
      <c r="H4" s="108"/>
      <c r="I4" s="108"/>
      <c r="S4" s="108"/>
      <c r="T4" s="108"/>
      <c r="U4" s="108"/>
      <c r="V4" s="108"/>
      <c r="W4" s="108"/>
      <c r="X4" s="108"/>
      <c r="Y4" s="108"/>
      <c r="Z4" s="108"/>
    </row>
    <row r="5" spans="2:26" ht="15" customHeight="1">
      <c r="B5" s="418" t="s">
        <v>59</v>
      </c>
      <c r="C5" s="418"/>
      <c r="D5" s="105"/>
      <c r="E5" s="418" t="s">
        <v>60</v>
      </c>
      <c r="F5" s="418"/>
      <c r="G5" s="105"/>
      <c r="H5" s="418" t="s">
        <v>61</v>
      </c>
      <c r="I5" s="418"/>
      <c r="S5" s="416"/>
      <c r="T5" s="416"/>
      <c r="U5" s="105"/>
      <c r="V5" s="416"/>
      <c r="W5" s="416"/>
      <c r="X5" s="105"/>
      <c r="Y5" s="416"/>
      <c r="Z5" s="416"/>
    </row>
    <row r="6" spans="2:26" ht="15" customHeight="1">
      <c r="B6" s="418"/>
      <c r="C6" s="418"/>
      <c r="D6" s="105"/>
      <c r="E6" s="418"/>
      <c r="F6" s="418"/>
      <c r="G6" s="105"/>
      <c r="H6" s="418"/>
      <c r="I6" s="418"/>
      <c r="S6" s="416"/>
      <c r="T6" s="416"/>
      <c r="U6" s="105"/>
      <c r="V6" s="416"/>
      <c r="W6" s="416"/>
      <c r="X6" s="105"/>
      <c r="Y6" s="416"/>
      <c r="Z6" s="416"/>
    </row>
    <row r="7" spans="2:26" s="105" customFormat="1" ht="12" customHeight="1"/>
    <row r="8" spans="2:26">
      <c r="D8" s="105"/>
      <c r="G8" s="105"/>
      <c r="S8" s="105"/>
      <c r="T8" s="105"/>
      <c r="U8" s="105"/>
      <c r="V8" s="105"/>
      <c r="W8" s="105"/>
      <c r="X8" s="105"/>
      <c r="Y8" s="105"/>
      <c r="Z8" s="105"/>
    </row>
    <row r="9" spans="2:26">
      <c r="D9" s="105"/>
      <c r="G9" s="105"/>
      <c r="S9" s="105"/>
      <c r="T9" s="105"/>
      <c r="U9" s="105"/>
      <c r="V9" s="105"/>
      <c r="W9" s="105"/>
      <c r="X9" s="105"/>
      <c r="Y9" s="105"/>
      <c r="Z9" s="105"/>
    </row>
    <row r="10" spans="2:26">
      <c r="D10" s="105"/>
      <c r="G10" s="105"/>
      <c r="S10" s="105"/>
      <c r="T10" s="105"/>
      <c r="U10" s="105"/>
      <c r="V10" s="105"/>
      <c r="W10" s="105"/>
      <c r="X10" s="105"/>
      <c r="Y10" s="105"/>
      <c r="Z10" s="105"/>
    </row>
    <row r="11" spans="2:26">
      <c r="D11" s="105"/>
      <c r="G11" s="105"/>
      <c r="S11" s="105"/>
      <c r="T11" s="105"/>
      <c r="U11" s="105"/>
      <c r="V11" s="105"/>
      <c r="W11" s="105"/>
      <c r="X11" s="105"/>
      <c r="Y11" s="105"/>
      <c r="Z11" s="105"/>
    </row>
    <row r="12" spans="2:26">
      <c r="D12" s="105"/>
      <c r="G12" s="105"/>
      <c r="S12" s="105"/>
      <c r="T12" s="105"/>
      <c r="U12" s="105"/>
      <c r="V12" s="105"/>
      <c r="W12" s="105"/>
      <c r="X12" s="105"/>
      <c r="Y12" s="105"/>
      <c r="Z12" s="105"/>
    </row>
    <row r="13" spans="2:26">
      <c r="D13" s="105"/>
      <c r="G13" s="105"/>
      <c r="S13" s="105"/>
      <c r="T13" s="105"/>
      <c r="U13" s="105"/>
      <c r="V13" s="105"/>
      <c r="W13" s="105"/>
      <c r="X13" s="105"/>
      <c r="Y13" s="105"/>
      <c r="Z13" s="105"/>
    </row>
    <row r="14" spans="2:26" s="105" customFormat="1" ht="12" customHeight="1"/>
    <row r="15" spans="2:26" ht="15" customHeight="1">
      <c r="B15" s="419">
        <f ca="1">kalkulation!C23</f>
        <v>3.4213169642857144</v>
      </c>
      <c r="C15" s="419"/>
      <c r="D15" s="106"/>
      <c r="E15" s="419">
        <f ca="1">kalkulation!D23</f>
        <v>4.2900669642857139</v>
      </c>
      <c r="F15" s="419"/>
      <c r="G15" s="106"/>
      <c r="H15" s="419">
        <f ca="1">kalkulation!E23</f>
        <v>5.1588169642857142</v>
      </c>
      <c r="I15" s="419"/>
      <c r="S15" s="417"/>
      <c r="T15" s="417"/>
      <c r="U15" s="106"/>
      <c r="V15" s="417"/>
      <c r="W15" s="417"/>
      <c r="X15" s="106"/>
      <c r="Y15" s="417"/>
      <c r="Z15" s="417"/>
    </row>
    <row r="16" spans="2:26" ht="15" customHeight="1">
      <c r="B16" s="419"/>
      <c r="C16" s="419"/>
      <c r="D16" s="106"/>
      <c r="E16" s="419"/>
      <c r="F16" s="419"/>
      <c r="G16" s="106"/>
      <c r="H16" s="419"/>
      <c r="I16" s="419"/>
      <c r="S16" s="417"/>
      <c r="T16" s="417"/>
      <c r="U16" s="106"/>
      <c r="V16" s="417"/>
      <c r="W16" s="417"/>
      <c r="X16" s="106"/>
      <c r="Y16" s="417"/>
      <c r="Z16" s="417"/>
    </row>
    <row r="17" spans="1:34" s="105" customFormat="1" ht="12" customHeight="1"/>
    <row r="18" spans="1:34" s="105" customFormat="1" ht="15.75">
      <c r="B18" s="104"/>
      <c r="C18" s="107"/>
      <c r="D18" s="112" t="s">
        <v>68</v>
      </c>
      <c r="E18" s="125" t="s">
        <v>89</v>
      </c>
      <c r="F18" s="110"/>
      <c r="G18" s="104"/>
      <c r="H18" s="104"/>
      <c r="I18" s="104"/>
      <c r="T18" s="109"/>
      <c r="U18" s="396"/>
      <c r="V18" s="397"/>
      <c r="W18" s="398"/>
    </row>
    <row r="19" spans="1:34" s="117" customFormat="1" ht="19.5" customHeight="1">
      <c r="A19" s="113"/>
      <c r="B19" s="421" t="s">
        <v>92</v>
      </c>
      <c r="C19" s="421"/>
      <c r="D19" s="114">
        <v>250</v>
      </c>
      <c r="E19" s="129">
        <f>D19-40</f>
        <v>210</v>
      </c>
      <c r="F19" s="115" t="s">
        <v>90</v>
      </c>
      <c r="G19" s="422" t="s">
        <v>109</v>
      </c>
      <c r="H19" s="422"/>
      <c r="I19" s="116"/>
      <c r="J19" s="113"/>
      <c r="K19" s="113"/>
      <c r="L19" s="113"/>
      <c r="M19" s="113"/>
      <c r="N19" s="113"/>
      <c r="O19" s="113"/>
      <c r="P19" s="113"/>
      <c r="Q19" s="113"/>
      <c r="R19" s="113"/>
      <c r="S19" s="413"/>
      <c r="T19" s="413"/>
      <c r="U19" s="400"/>
      <c r="V19" s="401"/>
      <c r="W19" s="399"/>
      <c r="X19" s="414"/>
      <c r="Y19" s="414"/>
      <c r="Z19" s="113"/>
      <c r="AA19" s="113"/>
      <c r="AB19" s="113"/>
      <c r="AC19" s="113"/>
      <c r="AD19" s="113"/>
      <c r="AE19" s="113"/>
      <c r="AF19" s="113"/>
      <c r="AG19" s="113"/>
      <c r="AH19" s="113"/>
    </row>
    <row r="20" spans="1:34" s="117" customFormat="1" ht="19.5" customHeight="1">
      <c r="A20" s="113"/>
      <c r="B20" s="115"/>
      <c r="C20" s="115"/>
      <c r="D20" s="119"/>
      <c r="E20" s="129"/>
      <c r="F20" s="115"/>
      <c r="G20" s="119"/>
      <c r="H20" s="119"/>
      <c r="I20" s="116"/>
      <c r="J20" s="113"/>
      <c r="K20" s="113"/>
      <c r="L20" s="113"/>
      <c r="M20" s="113"/>
      <c r="N20" s="113"/>
      <c r="O20" s="113"/>
      <c r="P20" s="113"/>
      <c r="Q20" s="113"/>
      <c r="R20" s="113"/>
      <c r="S20" s="399"/>
      <c r="T20" s="399"/>
      <c r="U20" s="400"/>
      <c r="V20" s="401"/>
      <c r="W20" s="399"/>
      <c r="X20" s="400"/>
      <c r="Y20" s="400"/>
      <c r="Z20" s="113"/>
      <c r="AA20" s="113"/>
      <c r="AB20" s="113"/>
      <c r="AC20" s="113"/>
      <c r="AD20" s="113"/>
      <c r="AE20" s="113"/>
      <c r="AF20" s="113"/>
      <c r="AG20" s="113"/>
      <c r="AH20" s="113"/>
    </row>
    <row r="21" spans="1:34" s="117" customFormat="1" ht="19.5" customHeight="1">
      <c r="A21" s="113"/>
      <c r="B21" s="421" t="s">
        <v>93</v>
      </c>
      <c r="C21" s="421"/>
      <c r="D21" s="114">
        <v>175</v>
      </c>
      <c r="E21" s="129">
        <f>D21-40</f>
        <v>135</v>
      </c>
      <c r="F21" s="115" t="s">
        <v>88</v>
      </c>
      <c r="G21" s="422" t="s">
        <v>2</v>
      </c>
      <c r="H21" s="422"/>
      <c r="I21" s="121" t="s">
        <v>269</v>
      </c>
      <c r="J21" s="113"/>
      <c r="K21" s="113"/>
      <c r="L21" s="113"/>
      <c r="M21" s="113"/>
      <c r="N21" s="113"/>
      <c r="O21" s="113"/>
      <c r="P21" s="113"/>
      <c r="Q21" s="113"/>
      <c r="R21" s="113"/>
      <c r="S21" s="413"/>
      <c r="T21" s="413"/>
      <c r="U21" s="400"/>
      <c r="V21" s="401"/>
      <c r="W21" s="399"/>
      <c r="X21" s="414"/>
      <c r="Y21" s="414"/>
      <c r="Z21" s="402"/>
      <c r="AA21" s="113"/>
      <c r="AB21" s="113"/>
      <c r="AC21" s="113"/>
      <c r="AD21" s="113"/>
      <c r="AE21" s="113"/>
      <c r="AF21" s="113"/>
      <c r="AG21" s="113"/>
      <c r="AH21" s="113"/>
    </row>
    <row r="22" spans="1:34" s="117" customFormat="1" ht="19.5" customHeight="1">
      <c r="A22" s="113"/>
      <c r="B22" s="115"/>
      <c r="C22" s="115"/>
      <c r="D22" s="119"/>
      <c r="E22" s="129"/>
      <c r="F22" s="115"/>
      <c r="G22" s="119"/>
      <c r="H22" s="119"/>
      <c r="I22" s="116"/>
      <c r="J22" s="113"/>
      <c r="K22" s="113"/>
      <c r="L22" s="113"/>
      <c r="M22" s="113"/>
      <c r="N22" s="113"/>
      <c r="O22" s="113"/>
      <c r="P22" s="113"/>
      <c r="Q22" s="113"/>
      <c r="R22" s="113"/>
      <c r="S22" s="399"/>
      <c r="T22" s="399"/>
      <c r="U22" s="400"/>
      <c r="V22" s="401"/>
      <c r="W22" s="399"/>
      <c r="X22" s="400"/>
      <c r="Y22" s="400"/>
      <c r="Z22" s="113"/>
      <c r="AA22" s="113"/>
      <c r="AB22" s="113"/>
      <c r="AC22" s="113"/>
      <c r="AD22" s="113"/>
      <c r="AE22" s="113"/>
      <c r="AF22" s="113"/>
      <c r="AG22" s="113"/>
      <c r="AH22" s="113"/>
    </row>
    <row r="23" spans="1:34" s="117" customFormat="1" ht="19.5" customHeight="1">
      <c r="A23" s="113"/>
      <c r="B23" s="421" t="s">
        <v>94</v>
      </c>
      <c r="C23" s="421"/>
      <c r="D23" s="120">
        <f>material!H2</f>
        <v>20</v>
      </c>
      <c r="E23" s="129">
        <f>material!H3</f>
        <v>12</v>
      </c>
      <c r="F23" s="115" t="s">
        <v>81</v>
      </c>
      <c r="G23" s="420">
        <v>0</v>
      </c>
      <c r="H23" s="420"/>
      <c r="I23" s="121" t="s">
        <v>306</v>
      </c>
      <c r="J23" s="122"/>
      <c r="K23" s="113"/>
      <c r="L23" s="113"/>
      <c r="M23" s="113"/>
      <c r="N23" s="113"/>
      <c r="O23" s="113"/>
      <c r="P23" s="113"/>
      <c r="Q23" s="113"/>
      <c r="R23" s="113"/>
      <c r="S23" s="413"/>
      <c r="T23" s="413"/>
      <c r="U23" s="403"/>
      <c r="V23" s="401"/>
      <c r="W23" s="399"/>
      <c r="X23" s="414"/>
      <c r="Y23" s="414"/>
      <c r="Z23" s="402"/>
      <c r="AA23" s="113"/>
      <c r="AB23" s="113"/>
      <c r="AC23" s="113"/>
      <c r="AD23" s="113"/>
      <c r="AE23" s="113"/>
      <c r="AF23" s="113"/>
      <c r="AG23" s="113"/>
      <c r="AH23" s="113"/>
    </row>
    <row r="24" spans="1:34" s="117" customFormat="1" ht="19.5" customHeight="1">
      <c r="A24" s="113"/>
      <c r="B24" s="115"/>
      <c r="C24" s="115"/>
      <c r="D24" s="119"/>
      <c r="E24" s="130"/>
      <c r="F24" s="115"/>
      <c r="G24" s="119"/>
      <c r="H24" s="119"/>
      <c r="I24" s="116"/>
      <c r="J24" s="113"/>
      <c r="K24" s="113"/>
      <c r="L24" s="113"/>
      <c r="M24" s="113"/>
      <c r="N24" s="113"/>
      <c r="O24" s="113"/>
      <c r="P24" s="113"/>
      <c r="Q24" s="113"/>
      <c r="R24" s="113"/>
      <c r="S24" s="399"/>
      <c r="T24" s="399"/>
      <c r="U24" s="400"/>
      <c r="V24" s="404"/>
      <c r="W24" s="399"/>
      <c r="X24" s="400"/>
      <c r="Y24" s="400"/>
      <c r="Z24" s="113"/>
      <c r="AA24" s="113"/>
      <c r="AB24" s="113"/>
      <c r="AC24" s="113"/>
      <c r="AD24" s="113"/>
      <c r="AE24" s="113"/>
      <c r="AF24" s="113"/>
      <c r="AG24" s="113"/>
      <c r="AH24" s="113"/>
    </row>
    <row r="25" spans="1:34" s="117" customFormat="1" ht="19.5" customHeight="1">
      <c r="A25" s="113"/>
      <c r="B25" s="421" t="s">
        <v>95</v>
      </c>
      <c r="C25" s="421"/>
      <c r="D25" s="124">
        <v>5</v>
      </c>
      <c r="E25" s="118"/>
      <c r="F25" s="115" t="s">
        <v>81</v>
      </c>
      <c r="G25" s="420">
        <v>0</v>
      </c>
      <c r="H25" s="420"/>
      <c r="I25" s="121" t="s">
        <v>3</v>
      </c>
      <c r="J25" s="123"/>
      <c r="K25" s="113"/>
      <c r="L25" s="113"/>
      <c r="M25" s="113"/>
      <c r="N25" s="113"/>
      <c r="O25" s="113"/>
      <c r="P25" s="113"/>
      <c r="Q25" s="113"/>
      <c r="R25" s="113"/>
      <c r="S25" s="413"/>
      <c r="T25" s="413"/>
      <c r="U25" s="405"/>
      <c r="V25" s="406"/>
      <c r="W25" s="399"/>
      <c r="X25" s="414"/>
      <c r="Y25" s="414"/>
      <c r="Z25" s="402"/>
      <c r="AA25" s="113"/>
      <c r="AB25" s="113"/>
      <c r="AC25" s="113"/>
      <c r="AD25" s="113"/>
      <c r="AE25" s="113"/>
      <c r="AF25" s="113"/>
      <c r="AG25" s="113"/>
      <c r="AH25" s="113"/>
    </row>
    <row r="26" spans="1:34" s="117" customFormat="1" ht="19.5" customHeight="1">
      <c r="A26" s="113"/>
      <c r="B26" s="115"/>
      <c r="C26" s="115"/>
      <c r="D26" s="119"/>
      <c r="E26" s="118"/>
      <c r="F26" s="115"/>
      <c r="G26" s="119"/>
      <c r="H26" s="119"/>
      <c r="I26" s="116"/>
      <c r="J26" s="113"/>
      <c r="K26" s="113"/>
      <c r="L26" s="113"/>
      <c r="M26" s="113"/>
      <c r="N26" s="113"/>
      <c r="O26" s="113"/>
      <c r="P26" s="113"/>
      <c r="Q26" s="113"/>
      <c r="R26" s="113"/>
      <c r="S26" s="399"/>
      <c r="T26" s="399"/>
      <c r="U26" s="400"/>
      <c r="V26" s="406"/>
      <c r="W26" s="399"/>
      <c r="X26" s="400"/>
      <c r="Y26" s="400"/>
      <c r="Z26" s="113"/>
      <c r="AA26" s="113"/>
      <c r="AB26" s="113"/>
      <c r="AC26" s="113"/>
      <c r="AD26" s="113"/>
      <c r="AE26" s="113"/>
      <c r="AF26" s="113"/>
      <c r="AG26" s="113"/>
      <c r="AH26" s="113"/>
    </row>
    <row r="27" spans="1:34" s="117" customFormat="1" ht="19.5" customHeight="1">
      <c r="A27" s="113"/>
      <c r="B27" s="421" t="s">
        <v>96</v>
      </c>
      <c r="C27" s="421"/>
      <c r="D27" s="114">
        <v>500</v>
      </c>
      <c r="E27" s="118"/>
      <c r="F27" s="115" t="s">
        <v>82</v>
      </c>
      <c r="G27" s="420">
        <v>0</v>
      </c>
      <c r="H27" s="420"/>
      <c r="I27" s="121" t="s">
        <v>84</v>
      </c>
      <c r="J27" s="113"/>
      <c r="K27" s="113"/>
      <c r="L27" s="113"/>
      <c r="M27" s="113"/>
      <c r="N27" s="113"/>
      <c r="O27" s="113"/>
      <c r="P27" s="113"/>
      <c r="Q27" s="113"/>
      <c r="R27" s="113"/>
      <c r="S27" s="413"/>
      <c r="T27" s="413"/>
      <c r="U27" s="400"/>
      <c r="V27" s="406"/>
      <c r="W27" s="399"/>
      <c r="X27" s="414"/>
      <c r="Y27" s="414"/>
      <c r="Z27" s="402"/>
      <c r="AA27" s="113"/>
      <c r="AB27" s="113"/>
      <c r="AC27" s="113"/>
      <c r="AD27" s="113"/>
      <c r="AE27" s="113"/>
      <c r="AF27" s="113"/>
      <c r="AG27" s="113"/>
      <c r="AH27" s="113"/>
    </row>
    <row r="28" spans="1:34" s="117" customFormat="1" ht="19.5" customHeight="1">
      <c r="A28" s="113"/>
      <c r="B28" s="115"/>
      <c r="C28" s="115"/>
      <c r="D28" s="119"/>
      <c r="E28" s="118"/>
      <c r="F28" s="115"/>
      <c r="G28" s="119"/>
      <c r="H28" s="119"/>
      <c r="I28" s="116"/>
      <c r="J28" s="113"/>
      <c r="K28" s="113"/>
      <c r="L28" s="113"/>
      <c r="M28" s="113"/>
      <c r="N28" s="113"/>
      <c r="O28" s="113"/>
      <c r="P28" s="113"/>
      <c r="Q28" s="113"/>
      <c r="R28" s="113"/>
      <c r="S28" s="399"/>
      <c r="T28" s="399"/>
      <c r="U28" s="400"/>
      <c r="V28" s="406"/>
      <c r="W28" s="399"/>
      <c r="X28" s="400"/>
      <c r="Y28" s="400"/>
      <c r="Z28" s="113"/>
      <c r="AA28" s="113"/>
      <c r="AB28" s="113"/>
      <c r="AC28" s="113"/>
      <c r="AD28" s="113"/>
      <c r="AE28" s="113"/>
      <c r="AF28" s="113"/>
    </row>
    <row r="29" spans="1:34" s="117" customFormat="1" ht="19.5" customHeight="1">
      <c r="A29" s="113"/>
      <c r="B29" s="421" t="s">
        <v>97</v>
      </c>
      <c r="C29" s="421"/>
      <c r="D29" s="114" t="s">
        <v>76</v>
      </c>
      <c r="E29" s="118"/>
      <c r="F29" s="115" t="s">
        <v>293</v>
      </c>
      <c r="G29" s="420">
        <v>0</v>
      </c>
      <c r="H29" s="420"/>
      <c r="I29" s="121" t="s">
        <v>102</v>
      </c>
      <c r="J29" s="113"/>
      <c r="K29" s="113"/>
      <c r="L29" s="113"/>
      <c r="M29" s="113"/>
      <c r="N29" s="113"/>
      <c r="O29" s="113"/>
      <c r="P29" s="113"/>
      <c r="Q29" s="113"/>
      <c r="R29" s="113"/>
      <c r="S29" s="413"/>
      <c r="T29" s="413"/>
      <c r="U29" s="400"/>
      <c r="V29" s="406"/>
      <c r="W29" s="399"/>
      <c r="X29" s="415"/>
      <c r="Y29" s="415"/>
      <c r="Z29" s="402"/>
      <c r="AA29" s="113"/>
      <c r="AB29" s="113"/>
      <c r="AC29" s="113"/>
      <c r="AD29" s="113"/>
      <c r="AE29" s="113"/>
      <c r="AF29" s="113"/>
    </row>
    <row r="30" spans="1:34" s="117" customFormat="1" ht="19.5" customHeight="1">
      <c r="A30" s="113"/>
      <c r="B30" s="115"/>
      <c r="C30" s="115"/>
      <c r="D30" s="119"/>
      <c r="E30" s="118"/>
      <c r="F30" s="115"/>
      <c r="G30" s="119"/>
      <c r="H30" s="119"/>
      <c r="I30" s="116"/>
      <c r="J30" s="113"/>
      <c r="K30" s="113"/>
      <c r="L30" s="113"/>
      <c r="M30" s="113"/>
      <c r="N30" s="113"/>
      <c r="O30" s="113"/>
      <c r="P30" s="113"/>
      <c r="Q30" s="113"/>
      <c r="R30" s="113"/>
      <c r="S30" s="399"/>
      <c r="T30" s="399"/>
      <c r="U30" s="400"/>
      <c r="V30" s="406"/>
      <c r="W30" s="399"/>
      <c r="X30" s="400"/>
      <c r="Y30" s="400"/>
      <c r="Z30" s="113"/>
      <c r="AA30" s="113"/>
      <c r="AB30" s="113"/>
      <c r="AC30" s="113"/>
      <c r="AD30" s="113"/>
      <c r="AE30" s="113"/>
      <c r="AF30" s="113"/>
    </row>
    <row r="31" spans="1:34" s="117" customFormat="1" ht="19.5" customHeight="1">
      <c r="A31" s="113"/>
      <c r="B31" s="421" t="s">
        <v>98</v>
      </c>
      <c r="C31" s="421"/>
      <c r="D31" s="422" t="s">
        <v>297</v>
      </c>
      <c r="E31" s="422"/>
      <c r="F31" s="115" t="s">
        <v>300</v>
      </c>
      <c r="G31" s="420">
        <v>0</v>
      </c>
      <c r="H31" s="420"/>
      <c r="I31" s="121" t="s">
        <v>299</v>
      </c>
      <c r="J31" s="113" t="str">
        <f>IF(AND(G31="aussen und innen",G25="Alle Lagen"),"Digitaldruck Eco nur bei E-Welle beidseitig möglich"," ")</f>
        <v xml:space="preserve"> </v>
      </c>
      <c r="K31" s="113"/>
      <c r="L31" s="113"/>
      <c r="M31" s="113"/>
      <c r="N31" s="113"/>
      <c r="O31" s="113"/>
      <c r="P31" s="113"/>
      <c r="Q31" s="113"/>
      <c r="R31" s="113"/>
      <c r="S31" s="413"/>
      <c r="T31" s="413"/>
      <c r="U31" s="414"/>
      <c r="V31" s="414"/>
      <c r="W31" s="399"/>
      <c r="X31" s="414"/>
      <c r="Y31" s="414"/>
      <c r="Z31" s="402"/>
      <c r="AA31" s="113"/>
      <c r="AB31" s="113"/>
      <c r="AC31" s="113"/>
      <c r="AD31" s="113"/>
      <c r="AE31" s="113"/>
      <c r="AF31" s="113"/>
    </row>
    <row r="32" spans="1:34" ht="15.75">
      <c r="B32" s="104"/>
      <c r="C32" s="107"/>
      <c r="D32" s="104"/>
      <c r="E32" s="110"/>
      <c r="F32" s="110"/>
      <c r="G32" s="104"/>
      <c r="H32" s="104"/>
      <c r="I32" s="104"/>
      <c r="S32" s="105"/>
      <c r="T32" s="109"/>
      <c r="U32" s="105"/>
      <c r="V32" s="398"/>
      <c r="W32" s="398"/>
      <c r="X32" s="105"/>
      <c r="Y32" s="105"/>
      <c r="Z32" s="105"/>
      <c r="AG32"/>
      <c r="AH32"/>
    </row>
    <row r="33" spans="2:26" s="105" customFormat="1" ht="9" customHeight="1">
      <c r="C33" s="109"/>
      <c r="T33" s="109"/>
    </row>
    <row r="34" spans="2:26" s="280" customFormat="1" ht="15.75" customHeight="1">
      <c r="B34" s="412" t="s">
        <v>67</v>
      </c>
      <c r="C34" s="412"/>
      <c r="D34" s="412"/>
      <c r="E34" s="412"/>
      <c r="F34" s="412"/>
      <c r="G34" s="412"/>
      <c r="H34" s="412"/>
      <c r="I34" s="412"/>
      <c r="S34" s="412"/>
      <c r="T34" s="412"/>
      <c r="U34" s="412"/>
      <c r="V34" s="412"/>
      <c r="W34" s="412"/>
      <c r="X34" s="412"/>
      <c r="Y34" s="412"/>
      <c r="Z34" s="412"/>
    </row>
    <row r="35" spans="2:26" s="280" customFormat="1" ht="15.75" customHeight="1">
      <c r="B35" s="412" t="s">
        <v>73</v>
      </c>
      <c r="C35" s="412"/>
      <c r="D35" s="412"/>
      <c r="E35" s="412"/>
      <c r="F35" s="412"/>
      <c r="G35" s="412"/>
      <c r="H35" s="412"/>
      <c r="I35" s="412"/>
      <c r="S35" s="412"/>
      <c r="T35" s="412"/>
      <c r="U35" s="412"/>
      <c r="V35" s="412"/>
      <c r="W35" s="412"/>
      <c r="X35" s="412"/>
      <c r="Y35" s="412"/>
      <c r="Z35" s="412"/>
    </row>
    <row r="36" spans="2:26" s="280" customFormat="1" ht="15.75" customHeight="1">
      <c r="B36" s="412" t="s">
        <v>69</v>
      </c>
      <c r="C36" s="412"/>
      <c r="D36" s="412"/>
      <c r="E36" s="412"/>
      <c r="F36" s="412"/>
      <c r="G36" s="412"/>
      <c r="H36" s="412"/>
      <c r="I36" s="412"/>
      <c r="S36" s="412"/>
      <c r="T36" s="412"/>
      <c r="U36" s="412"/>
      <c r="V36" s="412"/>
      <c r="W36" s="412"/>
      <c r="X36" s="412"/>
      <c r="Y36" s="412"/>
      <c r="Z36" s="412"/>
    </row>
    <row r="37" spans="2:26" s="280" customFormat="1" ht="15.75" customHeight="1">
      <c r="B37" s="279"/>
      <c r="C37" s="279"/>
      <c r="D37" s="279"/>
      <c r="E37" s="279"/>
      <c r="F37" s="279"/>
      <c r="G37" s="279"/>
      <c r="H37" s="279"/>
      <c r="I37" s="279"/>
      <c r="S37" s="279"/>
      <c r="T37" s="279"/>
      <c r="U37" s="279"/>
      <c r="V37" s="279"/>
      <c r="W37" s="279"/>
      <c r="X37" s="279"/>
      <c r="Y37" s="279"/>
      <c r="Z37" s="279"/>
    </row>
    <row r="38" spans="2:26" s="280" customFormat="1" ht="15.75" customHeight="1">
      <c r="B38" s="412" t="s">
        <v>70</v>
      </c>
      <c r="C38" s="412"/>
      <c r="D38" s="412"/>
      <c r="E38" s="412"/>
      <c r="F38" s="412"/>
      <c r="G38" s="412"/>
      <c r="H38" s="412"/>
      <c r="I38" s="412"/>
      <c r="S38" s="412"/>
      <c r="T38" s="412"/>
      <c r="U38" s="412"/>
      <c r="V38" s="412"/>
      <c r="W38" s="412"/>
      <c r="X38" s="412"/>
      <c r="Y38" s="412"/>
      <c r="Z38" s="412"/>
    </row>
    <row r="39" spans="2:26" s="281" customFormat="1" ht="15.75" customHeight="1">
      <c r="B39" s="412" t="s">
        <v>265</v>
      </c>
      <c r="C39" s="412"/>
      <c r="D39" s="412"/>
      <c r="E39" s="412"/>
      <c r="F39" s="412"/>
      <c r="G39" s="412"/>
      <c r="H39" s="412"/>
      <c r="I39" s="412"/>
      <c r="S39" s="412"/>
      <c r="T39" s="412"/>
      <c r="U39" s="412"/>
      <c r="V39" s="412"/>
      <c r="W39" s="412"/>
      <c r="X39" s="412"/>
      <c r="Y39" s="412"/>
      <c r="Z39" s="412"/>
    </row>
    <row r="40" spans="2:26" s="281" customFormat="1" ht="15.75" customHeight="1">
      <c r="B40" s="412" t="s">
        <v>264</v>
      </c>
      <c r="C40" s="412"/>
      <c r="D40" s="412"/>
      <c r="E40" s="412"/>
      <c r="F40" s="412"/>
      <c r="G40" s="412"/>
      <c r="H40" s="412"/>
      <c r="I40" s="412"/>
      <c r="S40" s="412"/>
      <c r="T40" s="412"/>
      <c r="U40" s="412"/>
      <c r="V40" s="412"/>
      <c r="W40" s="412"/>
      <c r="X40" s="412"/>
      <c r="Y40" s="412"/>
      <c r="Z40" s="412"/>
    </row>
    <row r="41" spans="2:26" s="281" customFormat="1" ht="15.75" customHeight="1">
      <c r="B41" s="279"/>
      <c r="C41" s="279"/>
      <c r="D41" s="279"/>
      <c r="E41" s="279"/>
      <c r="F41" s="279"/>
      <c r="G41" s="279"/>
      <c r="H41" s="279"/>
      <c r="I41" s="279"/>
      <c r="S41" s="279"/>
      <c r="T41" s="279"/>
      <c r="U41" s="279"/>
      <c r="V41" s="279"/>
      <c r="W41" s="279"/>
      <c r="X41" s="279"/>
      <c r="Y41" s="279"/>
      <c r="Z41" s="279"/>
    </row>
    <row r="42" spans="2:26" s="281" customFormat="1" ht="15.75" customHeight="1">
      <c r="B42" s="412" t="s">
        <v>72</v>
      </c>
      <c r="C42" s="412"/>
      <c r="D42" s="412"/>
      <c r="E42" s="412"/>
      <c r="F42" s="412"/>
      <c r="G42" s="412"/>
      <c r="H42" s="412"/>
      <c r="I42" s="412"/>
      <c r="S42" s="412"/>
      <c r="T42" s="412"/>
      <c r="U42" s="412"/>
      <c r="V42" s="412"/>
      <c r="W42" s="412"/>
      <c r="X42" s="412"/>
      <c r="Y42" s="412"/>
      <c r="Z42" s="412"/>
    </row>
    <row r="43" spans="2:26" s="281" customFormat="1" ht="15.75" customHeight="1">
      <c r="B43" s="412" t="s">
        <v>244</v>
      </c>
      <c r="C43" s="412"/>
      <c r="D43" s="412"/>
      <c r="E43" s="412"/>
      <c r="F43" s="412"/>
      <c r="G43" s="412"/>
      <c r="H43" s="412"/>
      <c r="I43" s="412"/>
      <c r="S43" s="412"/>
      <c r="T43" s="412"/>
      <c r="U43" s="412"/>
      <c r="V43" s="412"/>
      <c r="W43" s="412"/>
      <c r="X43" s="412"/>
      <c r="Y43" s="412"/>
      <c r="Z43" s="412"/>
    </row>
    <row r="44" spans="2:26" s="281" customFormat="1" ht="15.75" customHeight="1">
      <c r="B44" s="412" t="s">
        <v>266</v>
      </c>
      <c r="C44" s="412"/>
      <c r="D44" s="412"/>
      <c r="E44" s="412"/>
      <c r="F44" s="412"/>
      <c r="G44" s="412"/>
      <c r="H44" s="412"/>
      <c r="I44" s="412"/>
      <c r="S44" s="412"/>
      <c r="T44" s="412"/>
      <c r="U44" s="412"/>
      <c r="V44" s="412"/>
      <c r="W44" s="412"/>
      <c r="X44" s="412"/>
      <c r="Y44" s="412"/>
      <c r="Z44" s="412"/>
    </row>
    <row r="45" spans="2:26" s="281" customFormat="1" ht="15.75" customHeight="1">
      <c r="B45" s="412"/>
      <c r="C45" s="412"/>
      <c r="D45" s="412"/>
      <c r="E45" s="412"/>
      <c r="F45" s="412"/>
      <c r="G45" s="412"/>
      <c r="H45" s="412"/>
      <c r="I45" s="412"/>
      <c r="S45" s="412"/>
      <c r="T45" s="412"/>
      <c r="U45" s="412"/>
      <c r="V45" s="412"/>
      <c r="W45" s="412"/>
      <c r="X45" s="412"/>
      <c r="Y45" s="412"/>
      <c r="Z45" s="412"/>
    </row>
    <row r="46" spans="2:26" s="281" customFormat="1" ht="15.75" customHeight="1">
      <c r="B46" s="412" t="s">
        <v>267</v>
      </c>
      <c r="C46" s="412"/>
      <c r="D46" s="412"/>
      <c r="E46" s="412"/>
      <c r="F46" s="412"/>
      <c r="G46" s="412"/>
      <c r="H46" s="412"/>
      <c r="I46" s="412"/>
      <c r="S46" s="412"/>
      <c r="T46" s="412"/>
      <c r="U46" s="412"/>
      <c r="V46" s="412"/>
      <c r="W46" s="412"/>
      <c r="X46" s="412"/>
      <c r="Y46" s="412"/>
      <c r="Z46" s="412"/>
    </row>
    <row r="47" spans="2:26" s="281" customFormat="1" ht="15.75" customHeight="1">
      <c r="B47" s="412" t="s">
        <v>268</v>
      </c>
      <c r="C47" s="412"/>
      <c r="D47" s="412"/>
      <c r="E47" s="412"/>
      <c r="F47" s="412"/>
      <c r="G47" s="412"/>
      <c r="H47" s="412"/>
      <c r="I47" s="412"/>
      <c r="S47" s="412"/>
      <c r="T47" s="412"/>
      <c r="U47" s="412"/>
      <c r="V47" s="412"/>
      <c r="W47" s="412"/>
      <c r="X47" s="412"/>
      <c r="Y47" s="412"/>
      <c r="Z47" s="412"/>
    </row>
    <row r="48" spans="2:26" s="281" customFormat="1" ht="15.75" customHeight="1">
      <c r="B48" s="279"/>
      <c r="C48" s="279"/>
      <c r="D48" s="279"/>
      <c r="E48" s="279"/>
      <c r="F48" s="279"/>
      <c r="G48" s="279"/>
      <c r="H48" s="279"/>
      <c r="I48" s="279"/>
      <c r="S48" s="279"/>
      <c r="T48" s="279"/>
      <c r="U48" s="279"/>
      <c r="V48" s="279"/>
      <c r="W48" s="279"/>
      <c r="X48" s="279"/>
      <c r="Y48" s="279"/>
      <c r="Z48" s="279"/>
    </row>
    <row r="49" spans="2:26" s="281" customFormat="1" ht="15.75" customHeight="1">
      <c r="B49" s="412" t="s">
        <v>71</v>
      </c>
      <c r="C49" s="412"/>
      <c r="D49" s="412"/>
      <c r="E49" s="412"/>
      <c r="F49" s="412"/>
      <c r="G49" s="412"/>
      <c r="H49" s="412"/>
      <c r="I49" s="412"/>
      <c r="S49" s="412"/>
      <c r="T49" s="412"/>
      <c r="U49" s="412"/>
      <c r="V49" s="412"/>
      <c r="W49" s="412"/>
      <c r="X49" s="412"/>
      <c r="Y49" s="412"/>
      <c r="Z49" s="412"/>
    </row>
    <row r="50" spans="2:26" s="281" customFormat="1" ht="15.75" customHeight="1">
      <c r="B50" s="412" t="s">
        <v>74</v>
      </c>
      <c r="C50" s="412"/>
      <c r="D50" s="412"/>
      <c r="E50" s="412"/>
      <c r="F50" s="412"/>
      <c r="G50" s="412"/>
      <c r="H50" s="412"/>
      <c r="I50" s="412"/>
      <c r="S50" s="412"/>
      <c r="T50" s="412"/>
      <c r="U50" s="412"/>
      <c r="V50" s="412"/>
      <c r="W50" s="412"/>
      <c r="X50" s="412"/>
      <c r="Y50" s="412"/>
      <c r="Z50" s="412"/>
    </row>
    <row r="51" spans="2:26" s="281" customFormat="1" ht="15.75" customHeight="1">
      <c r="B51" s="412"/>
      <c r="C51" s="412"/>
      <c r="D51" s="412"/>
      <c r="E51" s="412"/>
      <c r="F51" s="412"/>
      <c r="G51" s="412"/>
      <c r="H51" s="412"/>
      <c r="I51" s="412"/>
      <c r="S51" s="412"/>
      <c r="T51" s="412"/>
      <c r="U51" s="412"/>
      <c r="V51" s="412"/>
      <c r="W51" s="412"/>
      <c r="X51" s="412"/>
      <c r="Y51" s="412"/>
      <c r="Z51" s="412"/>
    </row>
    <row r="52" spans="2:26" s="105" customFormat="1" ht="15.75">
      <c r="B52" s="412"/>
      <c r="C52" s="412"/>
      <c r="D52" s="412"/>
      <c r="E52" s="412"/>
      <c r="F52" s="412"/>
      <c r="G52" s="412"/>
      <c r="H52" s="412"/>
      <c r="I52" s="412"/>
      <c r="S52" s="412"/>
      <c r="T52" s="412"/>
      <c r="U52" s="412"/>
      <c r="V52" s="412"/>
      <c r="W52" s="412"/>
      <c r="X52" s="412"/>
      <c r="Y52" s="412"/>
      <c r="Z52" s="412"/>
    </row>
    <row r="53" spans="2:26" s="105" customFormat="1" ht="15.75">
      <c r="B53" s="412"/>
      <c r="C53" s="412"/>
      <c r="D53" s="412"/>
      <c r="E53" s="412"/>
      <c r="F53" s="412"/>
      <c r="G53" s="412"/>
      <c r="H53" s="412"/>
      <c r="I53" s="412"/>
      <c r="S53" s="412"/>
      <c r="T53" s="412"/>
      <c r="U53" s="412"/>
      <c r="V53" s="412"/>
      <c r="W53" s="412"/>
      <c r="X53" s="412"/>
      <c r="Y53" s="412"/>
      <c r="Z53" s="412"/>
    </row>
    <row r="54" spans="2:26" s="105" customFormat="1" ht="15.75">
      <c r="B54" s="412"/>
      <c r="C54" s="412"/>
      <c r="D54" s="412"/>
      <c r="E54" s="412"/>
      <c r="F54" s="412"/>
      <c r="G54" s="412"/>
      <c r="H54" s="412"/>
      <c r="I54" s="412"/>
      <c r="S54" s="412"/>
      <c r="T54" s="412"/>
      <c r="U54" s="412"/>
      <c r="V54" s="412"/>
      <c r="W54" s="412"/>
      <c r="X54" s="412"/>
      <c r="Y54" s="412"/>
      <c r="Z54" s="412"/>
    </row>
    <row r="55" spans="2:26" s="105" customFormat="1" ht="15.75">
      <c r="B55" s="412"/>
      <c r="C55" s="412"/>
      <c r="D55" s="412"/>
      <c r="E55" s="412"/>
      <c r="F55" s="412"/>
      <c r="G55" s="412"/>
      <c r="H55" s="412"/>
      <c r="I55" s="412"/>
      <c r="S55" s="412"/>
      <c r="T55" s="412"/>
      <c r="U55" s="412"/>
      <c r="V55" s="412"/>
      <c r="W55" s="412"/>
      <c r="X55" s="412"/>
      <c r="Y55" s="412"/>
      <c r="Z55" s="412"/>
    </row>
    <row r="56" spans="2:26" s="105" customFormat="1" ht="15.75">
      <c r="B56" s="412"/>
      <c r="C56" s="412"/>
      <c r="D56" s="412"/>
      <c r="E56" s="412"/>
      <c r="F56" s="412"/>
      <c r="G56" s="412"/>
      <c r="H56" s="412"/>
      <c r="I56" s="412"/>
      <c r="S56" s="412"/>
      <c r="T56" s="412"/>
      <c r="U56" s="412"/>
      <c r="V56" s="412"/>
      <c r="W56" s="412"/>
      <c r="X56" s="412"/>
      <c r="Y56" s="412"/>
      <c r="Z56" s="412"/>
    </row>
    <row r="57" spans="2:26" s="105" customFormat="1" ht="15.75">
      <c r="B57" s="412"/>
      <c r="C57" s="412"/>
      <c r="D57" s="412"/>
      <c r="E57" s="412"/>
      <c r="F57" s="412"/>
      <c r="G57" s="412"/>
      <c r="H57" s="412"/>
      <c r="I57" s="412"/>
      <c r="S57" s="412"/>
      <c r="T57" s="412"/>
      <c r="U57" s="412"/>
      <c r="V57" s="412"/>
      <c r="W57" s="412"/>
      <c r="X57" s="412"/>
      <c r="Y57" s="412"/>
      <c r="Z57" s="412"/>
    </row>
    <row r="58" spans="2:26" s="105" customFormat="1" ht="15.75">
      <c r="B58" s="412"/>
      <c r="C58" s="412"/>
      <c r="D58" s="412"/>
      <c r="E58" s="412"/>
      <c r="F58" s="412"/>
      <c r="G58" s="412"/>
      <c r="H58" s="412"/>
      <c r="I58" s="412"/>
      <c r="S58" s="412"/>
      <c r="T58" s="412"/>
      <c r="U58" s="412"/>
      <c r="V58" s="412"/>
      <c r="W58" s="412"/>
      <c r="X58" s="412"/>
      <c r="Y58" s="412"/>
      <c r="Z58" s="412"/>
    </row>
    <row r="59" spans="2:26" s="105" customFormat="1" ht="15.75">
      <c r="B59" s="412"/>
      <c r="C59" s="412"/>
      <c r="D59" s="412"/>
      <c r="E59" s="412"/>
      <c r="F59" s="412"/>
      <c r="G59" s="412"/>
      <c r="H59" s="412"/>
      <c r="I59" s="412"/>
      <c r="S59" s="412"/>
      <c r="T59" s="412"/>
      <c r="U59" s="412"/>
      <c r="V59" s="412"/>
      <c r="W59" s="412"/>
      <c r="X59" s="412"/>
      <c r="Y59" s="412"/>
      <c r="Z59" s="412"/>
    </row>
    <row r="60" spans="2:26" s="105" customFormat="1" ht="15.75">
      <c r="B60" s="412"/>
      <c r="C60" s="412"/>
      <c r="D60" s="412"/>
      <c r="E60" s="412"/>
      <c r="F60" s="412"/>
      <c r="G60" s="412"/>
      <c r="H60" s="412"/>
      <c r="I60" s="412"/>
      <c r="S60" s="412"/>
      <c r="T60" s="412"/>
      <c r="U60" s="412"/>
      <c r="V60" s="412"/>
      <c r="W60" s="412"/>
      <c r="X60" s="412"/>
      <c r="Y60" s="412"/>
      <c r="Z60" s="412"/>
    </row>
    <row r="61" spans="2:26" s="105" customFormat="1" ht="15.75">
      <c r="B61" s="412"/>
      <c r="C61" s="412"/>
      <c r="D61" s="412"/>
      <c r="E61" s="412"/>
      <c r="F61" s="412"/>
      <c r="G61" s="412"/>
      <c r="H61" s="412"/>
      <c r="I61" s="412"/>
      <c r="S61" s="412"/>
      <c r="T61" s="412"/>
      <c r="U61" s="412"/>
      <c r="V61" s="412"/>
      <c r="W61" s="412"/>
      <c r="X61" s="412"/>
      <c r="Y61" s="412"/>
      <c r="Z61" s="412"/>
    </row>
    <row r="62" spans="2:26" s="105" customFormat="1" ht="15.75">
      <c r="B62" s="412"/>
      <c r="C62" s="412"/>
      <c r="D62" s="412"/>
      <c r="E62" s="412"/>
      <c r="F62" s="412"/>
      <c r="G62" s="412"/>
      <c r="H62" s="412"/>
      <c r="I62" s="412"/>
      <c r="S62" s="412"/>
      <c r="T62" s="412"/>
      <c r="U62" s="412"/>
      <c r="V62" s="412"/>
      <c r="W62" s="412"/>
      <c r="X62" s="412"/>
      <c r="Y62" s="412"/>
      <c r="Z62" s="412"/>
    </row>
    <row r="63" spans="2:26" s="105" customFormat="1" ht="15.75">
      <c r="B63" s="412"/>
      <c r="C63" s="412"/>
      <c r="D63" s="412"/>
      <c r="E63" s="412"/>
      <c r="F63" s="412"/>
      <c r="G63" s="412"/>
      <c r="H63" s="412"/>
      <c r="I63" s="412"/>
      <c r="S63" s="412"/>
      <c r="T63" s="412"/>
      <c r="U63" s="412"/>
      <c r="V63" s="412"/>
      <c r="W63" s="412"/>
      <c r="X63" s="412"/>
      <c r="Y63" s="412"/>
      <c r="Z63" s="412"/>
    </row>
    <row r="64" spans="2:26" s="105" customFormat="1"/>
    <row r="65" s="105" customFormat="1"/>
    <row r="66" s="105" customFormat="1"/>
    <row r="67" s="105" customFormat="1"/>
    <row r="68" s="105" customFormat="1"/>
    <row r="69" s="105" customFormat="1"/>
    <row r="70" s="105" customFormat="1"/>
    <row r="71" s="105" customFormat="1"/>
    <row r="72" s="105" customFormat="1"/>
    <row r="73" s="105" customFormat="1"/>
    <row r="74" s="105" customFormat="1"/>
    <row r="75" s="105" customFormat="1"/>
    <row r="76" s="105" customFormat="1"/>
    <row r="77" s="105" customFormat="1"/>
    <row r="78" s="105" customFormat="1"/>
    <row r="79" s="105" customFormat="1"/>
    <row r="80" s="105" customFormat="1"/>
    <row r="81" s="105" customFormat="1"/>
    <row r="82" s="105" customFormat="1"/>
    <row r="83" s="105" customFormat="1"/>
    <row r="84" s="105" customFormat="1"/>
    <row r="85" s="105" customFormat="1"/>
    <row r="86" s="105" customFormat="1"/>
    <row r="87" s="105" customFormat="1"/>
    <row r="88" s="105" customFormat="1"/>
    <row r="89" s="105" customFormat="1"/>
    <row r="90" s="105" customFormat="1"/>
    <row r="91" s="105" customFormat="1"/>
    <row r="92" s="105" customFormat="1"/>
    <row r="93" s="105" customFormat="1"/>
    <row r="94" s="105" customFormat="1"/>
    <row r="95" s="105" customFormat="1"/>
    <row r="96" s="105" customFormat="1"/>
    <row r="97" s="105" customFormat="1"/>
    <row r="98" s="105" customFormat="1"/>
    <row r="99" s="105" customFormat="1"/>
    <row r="100" s="105" customFormat="1"/>
    <row r="101" s="105" customFormat="1"/>
    <row r="102" s="105" customFormat="1"/>
    <row r="103" s="105" customFormat="1"/>
    <row r="104" s="105" customFormat="1"/>
    <row r="105" s="105" customFormat="1"/>
    <row r="106" s="105" customFormat="1"/>
    <row r="107" s="105" customFormat="1"/>
    <row r="108" s="105" customFormat="1"/>
    <row r="109" s="105" customFormat="1"/>
    <row r="110" s="105" customFormat="1"/>
    <row r="111" s="105" customFormat="1"/>
    <row r="112" s="105" customFormat="1"/>
    <row r="113" s="105" customFormat="1"/>
    <row r="114" s="105" customFormat="1"/>
    <row r="115" s="105" customFormat="1"/>
    <row r="116" s="105" customFormat="1"/>
    <row r="117" s="105" customFormat="1"/>
    <row r="118" s="105" customFormat="1"/>
    <row r="119" s="105" customFormat="1"/>
    <row r="120" s="105" customFormat="1"/>
    <row r="121" s="105" customFormat="1"/>
    <row r="122" s="105" customFormat="1"/>
    <row r="123" s="105" customFormat="1"/>
    <row r="124" s="105" customFormat="1"/>
    <row r="125" s="105" customFormat="1"/>
    <row r="126" s="105" customFormat="1"/>
    <row r="127" s="105" customFormat="1"/>
    <row r="128" s="105" customFormat="1"/>
    <row r="129" s="105" customFormat="1"/>
    <row r="130" s="105" customFormat="1"/>
    <row r="131" s="105" customFormat="1"/>
    <row r="132" s="105" customFormat="1"/>
    <row r="133" s="105" customFormat="1"/>
    <row r="134" s="105" customFormat="1"/>
    <row r="135" s="105" customFormat="1"/>
    <row r="136" s="105" customFormat="1"/>
    <row r="137" s="105" customFormat="1"/>
    <row r="138" s="105" customFormat="1"/>
    <row r="139" s="105" customFormat="1"/>
    <row r="140" s="105" customFormat="1"/>
    <row r="141" s="105" customFormat="1"/>
    <row r="142" s="105" customFormat="1"/>
    <row r="143" s="105" customFormat="1"/>
    <row r="144" s="105" customFormat="1"/>
    <row r="145" s="105" customFormat="1"/>
    <row r="146" s="105" customFormat="1"/>
    <row r="147" s="105" customFormat="1"/>
    <row r="148" s="105" customFormat="1"/>
    <row r="149" s="105" customFormat="1"/>
    <row r="150" s="105" customFormat="1"/>
    <row r="151" s="105" customFormat="1"/>
    <row r="152" s="105" customFormat="1"/>
    <row r="153" s="105" customFormat="1"/>
    <row r="154" s="105" customFormat="1"/>
    <row r="155" s="105" customFormat="1"/>
    <row r="156" s="105" customFormat="1"/>
    <row r="157" s="105" customFormat="1"/>
    <row r="158" s="105" customFormat="1"/>
    <row r="159" s="105" customFormat="1"/>
    <row r="160" s="105" customFormat="1"/>
    <row r="161" s="105" customFormat="1"/>
    <row r="162" s="105" customFormat="1"/>
    <row r="163" s="105" customFormat="1"/>
    <row r="164" s="105" customFormat="1"/>
    <row r="165" s="105" customFormat="1"/>
    <row r="166" s="105" customFormat="1"/>
    <row r="167" s="105" customFormat="1"/>
    <row r="168" s="105" customFormat="1"/>
    <row r="169" s="105" customFormat="1"/>
    <row r="170" s="105" customFormat="1"/>
    <row r="171" s="105" customFormat="1"/>
    <row r="172" s="105" customFormat="1"/>
    <row r="173" s="105" customFormat="1"/>
    <row r="174" s="105" customFormat="1"/>
    <row r="175" s="105" customFormat="1"/>
    <row r="176" s="105" customFormat="1"/>
    <row r="177" s="105" customFormat="1"/>
    <row r="178" s="105" customFormat="1"/>
    <row r="179" s="105" customFormat="1"/>
    <row r="180" s="105" customFormat="1"/>
    <row r="181" s="105" customFormat="1"/>
    <row r="182" s="105" customFormat="1"/>
    <row r="183" s="105" customFormat="1"/>
    <row r="184" s="105" customFormat="1"/>
    <row r="185" s="105" customFormat="1"/>
    <row r="186" s="105" customFormat="1"/>
    <row r="187" s="105" customFormat="1"/>
    <row r="188" s="105" customFormat="1"/>
    <row r="189" s="105" customFormat="1"/>
    <row r="190" s="105" customFormat="1"/>
    <row r="191" s="105" customFormat="1"/>
    <row r="192" s="105" customFormat="1"/>
    <row r="193" s="105" customFormat="1"/>
    <row r="194" s="105" customFormat="1"/>
    <row r="195" s="105" customFormat="1"/>
    <row r="196" s="105" customFormat="1"/>
    <row r="197" s="105" customFormat="1"/>
    <row r="198" s="105" customFormat="1"/>
    <row r="199" s="105" customFormat="1"/>
    <row r="200" s="105" customFormat="1"/>
    <row r="201" s="105" customFormat="1"/>
    <row r="202" s="105" customFormat="1"/>
    <row r="203" s="105" customFormat="1"/>
    <row r="204" s="105" customFormat="1"/>
    <row r="205" s="105" customFormat="1"/>
    <row r="206" s="105" customFormat="1"/>
    <row r="207" s="105" customFormat="1"/>
    <row r="208" s="105" customFormat="1"/>
    <row r="209" s="105" customFormat="1"/>
    <row r="210" s="105" customFormat="1"/>
    <row r="211" s="105" customFormat="1"/>
    <row r="212" s="105" customFormat="1"/>
    <row r="213" s="105" customFormat="1"/>
    <row r="214" s="105" customFormat="1"/>
    <row r="215" s="105" customFormat="1"/>
    <row r="216" s="105" customFormat="1"/>
    <row r="217" s="105" customFormat="1"/>
    <row r="218" s="105" customFormat="1"/>
    <row r="219" s="105" customFormat="1"/>
    <row r="220" s="105" customFormat="1"/>
    <row r="221" s="105" customFormat="1"/>
    <row r="222" s="105" customFormat="1"/>
    <row r="223" s="105" customFormat="1"/>
    <row r="224" s="105" customFormat="1"/>
    <row r="225" s="105" customFormat="1"/>
    <row r="226" s="105" customFormat="1"/>
    <row r="227" s="105" customFormat="1"/>
    <row r="228" s="105" customFormat="1"/>
    <row r="229" s="105" customFormat="1"/>
    <row r="230" s="105" customFormat="1"/>
    <row r="231" s="105" customFormat="1"/>
    <row r="232" s="105" customFormat="1"/>
    <row r="233" s="105" customFormat="1"/>
    <row r="234" s="105" customFormat="1"/>
    <row r="235" s="105" customFormat="1"/>
    <row r="236" s="105" customFormat="1"/>
    <row r="237" s="105" customFormat="1"/>
    <row r="238" s="105" customFormat="1"/>
    <row r="239" s="105" customFormat="1"/>
    <row r="240" s="105" customFormat="1"/>
    <row r="241" s="105" customFormat="1"/>
    <row r="242" s="105" customFormat="1"/>
    <row r="243" s="105" customFormat="1"/>
    <row r="244" s="105" customFormat="1"/>
    <row r="245" s="105" customFormat="1"/>
    <row r="246" s="105" customFormat="1"/>
    <row r="247" s="105" customFormat="1"/>
    <row r="248" s="105" customFormat="1"/>
    <row r="249" s="105" customFormat="1"/>
    <row r="250" s="105" customFormat="1"/>
    <row r="251" s="105" customFormat="1"/>
    <row r="252" s="105" customFormat="1"/>
    <row r="253" s="105" customFormat="1"/>
    <row r="254" s="105" customFormat="1"/>
    <row r="255" s="105" customFormat="1"/>
    <row r="256" s="105" customFormat="1"/>
    <row r="257" s="105" customFormat="1"/>
    <row r="258" s="105" customFormat="1"/>
    <row r="259" s="105" customFormat="1"/>
    <row r="260" s="105" customFormat="1"/>
    <row r="261" s="105" customFormat="1"/>
    <row r="262" s="105" customFormat="1"/>
    <row r="263" s="105" customFormat="1"/>
    <row r="264" s="105" customFormat="1"/>
    <row r="265" s="105" customFormat="1"/>
    <row r="266" s="105" customFormat="1"/>
    <row r="267" s="105" customFormat="1"/>
    <row r="268" s="105" customFormat="1"/>
    <row r="269" s="105" customFormat="1"/>
    <row r="270" s="105" customFormat="1"/>
    <row r="271" s="105" customFormat="1"/>
    <row r="272" s="105" customFormat="1"/>
    <row r="273" s="105" customFormat="1"/>
    <row r="274" s="105" customFormat="1"/>
    <row r="275" s="105" customFormat="1"/>
    <row r="276" s="105" customFormat="1"/>
    <row r="277" s="105" customFormat="1"/>
    <row r="278" s="105" customFormat="1"/>
    <row r="279" s="105" customFormat="1"/>
    <row r="280" s="105" customFormat="1"/>
    <row r="281" s="105" customFormat="1"/>
    <row r="282" s="105" customFormat="1"/>
    <row r="283" s="105" customFormat="1"/>
    <row r="284" s="105" customFormat="1"/>
    <row r="285" s="105" customFormat="1"/>
    <row r="286" s="105" customFormat="1"/>
    <row r="287" s="105" customFormat="1"/>
    <row r="288" s="105" customFormat="1"/>
    <row r="289" s="105" customFormat="1"/>
    <row r="290" s="105" customFormat="1"/>
    <row r="291" s="105" customFormat="1"/>
    <row r="292" s="105" customFormat="1"/>
    <row r="293" s="105" customFormat="1"/>
    <row r="294" s="105" customFormat="1"/>
    <row r="295" s="105" customFormat="1"/>
    <row r="296" s="105" customFormat="1"/>
    <row r="297" s="105" customFormat="1"/>
    <row r="298" s="105" customFormat="1"/>
    <row r="299" s="105" customFormat="1"/>
    <row r="300" s="105" customFormat="1"/>
    <row r="301" s="105" customFormat="1"/>
    <row r="302" s="105" customFormat="1"/>
    <row r="303" s="105" customFormat="1"/>
    <row r="304" s="105" customFormat="1"/>
    <row r="305" s="105" customFormat="1"/>
    <row r="306" s="105" customFormat="1"/>
    <row r="307" s="105" customFormat="1"/>
    <row r="308" s="105" customFormat="1"/>
    <row r="309" s="105" customFormat="1"/>
    <row r="310" s="105" customFormat="1"/>
    <row r="311" s="105" customFormat="1"/>
    <row r="312" s="105" customFormat="1"/>
    <row r="313" s="105" customFormat="1"/>
    <row r="314" s="105" customFormat="1"/>
    <row r="315" s="105" customFormat="1"/>
    <row r="316" s="105" customFormat="1"/>
    <row r="317" s="105" customFormat="1"/>
    <row r="318" s="105" customFormat="1"/>
    <row r="319" s="105" customFormat="1"/>
    <row r="320" s="105" customFormat="1"/>
    <row r="321" s="105" customFormat="1"/>
    <row r="322" s="105" customFormat="1"/>
    <row r="323" s="105" customFormat="1"/>
    <row r="324" s="105" customFormat="1"/>
    <row r="325" s="105" customFormat="1"/>
    <row r="326" s="105" customFormat="1"/>
    <row r="327" s="105" customFormat="1"/>
    <row r="328" s="105" customFormat="1"/>
    <row r="329" s="105" customFormat="1"/>
    <row r="330" s="105" customFormat="1"/>
    <row r="331" s="105" customFormat="1"/>
    <row r="332" s="105" customFormat="1"/>
    <row r="333" s="105" customFormat="1"/>
    <row r="334" s="105" customFormat="1"/>
    <row r="335" s="105" customFormat="1"/>
    <row r="336" s="105" customFormat="1"/>
    <row r="337" s="105" customFormat="1"/>
    <row r="338" s="105" customFormat="1"/>
    <row r="339" s="105" customFormat="1"/>
    <row r="340" s="105" customFormat="1"/>
    <row r="341" s="105" customFormat="1"/>
    <row r="342" s="105" customFormat="1"/>
    <row r="343" s="105" customFormat="1"/>
    <row r="344" s="105" customFormat="1"/>
    <row r="345" s="105" customFormat="1"/>
    <row r="346" s="105" customFormat="1"/>
    <row r="347" s="105" customFormat="1"/>
    <row r="348" s="105" customFormat="1"/>
    <row r="349" s="105" customFormat="1"/>
    <row r="350" s="105" customFormat="1"/>
    <row r="351" s="105" customFormat="1"/>
    <row r="352" s="105" customFormat="1"/>
    <row r="353" s="105" customFormat="1"/>
    <row r="354" s="105" customFormat="1"/>
    <row r="355" s="105" customFormat="1"/>
    <row r="356" s="105" customFormat="1"/>
    <row r="357" s="105" customFormat="1"/>
    <row r="358" s="105" customFormat="1"/>
    <row r="359" s="105" customFormat="1"/>
    <row r="360" s="105" customFormat="1"/>
    <row r="361" s="105" customFormat="1"/>
    <row r="362" s="105" customFormat="1"/>
    <row r="363" s="105" customFormat="1"/>
    <row r="364" s="105" customFormat="1"/>
    <row r="365" s="105" customFormat="1"/>
    <row r="366" s="105" customFormat="1"/>
    <row r="367" s="105" customFormat="1"/>
    <row r="368" s="105" customFormat="1"/>
    <row r="369" s="105" customFormat="1"/>
    <row r="370" s="105" customFormat="1"/>
    <row r="371" s="105" customFormat="1"/>
    <row r="372" s="105" customFormat="1"/>
    <row r="373" s="105" customFormat="1"/>
    <row r="374" s="105" customFormat="1"/>
    <row r="375" s="105" customFormat="1"/>
    <row r="376" s="105" customFormat="1"/>
    <row r="377" s="105" customFormat="1"/>
    <row r="378" s="105" customFormat="1"/>
    <row r="379" s="105" customFormat="1"/>
    <row r="380" s="105" customFormat="1"/>
    <row r="381" s="105" customFormat="1"/>
    <row r="382" s="105" customFormat="1"/>
    <row r="383" s="105" customFormat="1"/>
    <row r="384" s="105" customFormat="1"/>
    <row r="385" s="105" customFormat="1"/>
    <row r="386" s="105" customFormat="1"/>
    <row r="387" s="105" customFormat="1"/>
    <row r="388" s="105" customFormat="1"/>
    <row r="389" s="105" customFormat="1"/>
    <row r="390" s="105" customFormat="1"/>
    <row r="391" s="105" customFormat="1"/>
    <row r="392" s="105" customFormat="1"/>
    <row r="393" s="105" customFormat="1"/>
    <row r="394" s="105" customFormat="1"/>
    <row r="395" s="105" customFormat="1"/>
    <row r="396" s="105" customFormat="1"/>
    <row r="397" s="105" customFormat="1"/>
    <row r="398" s="105" customFormat="1"/>
    <row r="399" s="105" customFormat="1"/>
    <row r="400" s="105" customFormat="1"/>
    <row r="401" s="105" customFormat="1"/>
    <row r="402" s="105" customFormat="1"/>
    <row r="403" s="105" customFormat="1"/>
    <row r="404" s="105" customFormat="1"/>
    <row r="405" s="105" customFormat="1"/>
    <row r="406" s="105" customFormat="1"/>
    <row r="407" s="105" customFormat="1"/>
    <row r="408" s="105" customFormat="1"/>
    <row r="409" s="105" customFormat="1"/>
    <row r="410" s="105" customFormat="1"/>
    <row r="411" s="105" customFormat="1"/>
    <row r="412" s="105" customFormat="1"/>
    <row r="413" s="105" customFormat="1"/>
    <row r="414" s="105" customFormat="1"/>
    <row r="415" s="105" customFormat="1"/>
    <row r="416" s="105" customFormat="1"/>
    <row r="417" s="105" customFormat="1"/>
    <row r="418" s="105" customFormat="1"/>
    <row r="419" s="105" customFormat="1"/>
    <row r="420" s="105" customFormat="1"/>
    <row r="421" s="105" customFormat="1"/>
    <row r="422" s="105" customFormat="1"/>
    <row r="423" s="105" customFormat="1"/>
    <row r="424" s="105" customFormat="1"/>
    <row r="425" s="105" customFormat="1"/>
    <row r="426" s="105" customFormat="1"/>
    <row r="427" s="105" customFormat="1"/>
    <row r="428" s="105" customFormat="1"/>
    <row r="429" s="105" customFormat="1"/>
    <row r="430" s="105" customFormat="1"/>
    <row r="431" s="105" customFormat="1"/>
    <row r="432" s="105" customFormat="1"/>
    <row r="433" s="105" customFormat="1"/>
    <row r="434" s="105" customFormat="1"/>
    <row r="435" s="105" customFormat="1"/>
    <row r="436" s="105" customFormat="1"/>
    <row r="437" s="105" customFormat="1"/>
    <row r="438" s="105" customFormat="1"/>
    <row r="439" s="105" customFormat="1"/>
    <row r="440" s="105" customFormat="1"/>
    <row r="441" s="105" customFormat="1"/>
    <row r="442" s="105" customFormat="1"/>
    <row r="443" s="105" customFormat="1"/>
    <row r="444" s="105" customFormat="1"/>
    <row r="445" s="105" customFormat="1"/>
    <row r="446" s="105" customFormat="1"/>
    <row r="447" s="105" customFormat="1"/>
    <row r="448" s="105" customFormat="1"/>
    <row r="449" s="105" customFormat="1"/>
    <row r="450" s="105" customFormat="1"/>
    <row r="451" s="105" customFormat="1"/>
    <row r="452" s="105" customFormat="1"/>
    <row r="453" s="105" customFormat="1"/>
    <row r="454" s="105" customFormat="1"/>
    <row r="455" s="105" customFormat="1"/>
    <row r="456" s="105" customFormat="1"/>
    <row r="457" s="105" customFormat="1"/>
    <row r="458" s="105" customFormat="1"/>
    <row r="459" s="105" customFormat="1"/>
    <row r="460" s="105" customFormat="1"/>
    <row r="461" s="105" customFormat="1"/>
    <row r="462" s="105" customFormat="1"/>
    <row r="463" s="105" customFormat="1"/>
    <row r="464" s="105" customFormat="1"/>
    <row r="465" s="105" customFormat="1"/>
    <row r="466" s="105" customFormat="1"/>
    <row r="467" s="105" customFormat="1"/>
    <row r="468" s="105" customFormat="1"/>
    <row r="469" s="105" customFormat="1"/>
    <row r="470" s="105" customFormat="1"/>
    <row r="471" s="105" customFormat="1"/>
    <row r="472" s="105" customFormat="1"/>
    <row r="473" s="105" customFormat="1"/>
    <row r="474" s="105" customFormat="1"/>
    <row r="475" s="105" customFormat="1"/>
    <row r="476" s="105" customFormat="1"/>
    <row r="477" s="105" customFormat="1"/>
    <row r="478" s="105" customFormat="1"/>
    <row r="479" s="105" customFormat="1"/>
    <row r="480" s="105" customFormat="1"/>
    <row r="481" s="105" customFormat="1"/>
    <row r="482" s="105" customFormat="1"/>
    <row r="483" s="105" customFormat="1"/>
    <row r="484" s="105" customFormat="1"/>
    <row r="485" s="105" customFormat="1"/>
    <row r="486" s="105" customFormat="1"/>
    <row r="487" s="105" customFormat="1"/>
    <row r="488" s="105" customFormat="1"/>
    <row r="489" s="105" customFormat="1"/>
    <row r="490" s="105" customFormat="1"/>
    <row r="491" s="105" customFormat="1"/>
    <row r="492" s="105" customFormat="1"/>
    <row r="493" s="105" customFormat="1"/>
    <row r="494" s="105" customFormat="1"/>
    <row r="495" s="105" customFormat="1"/>
    <row r="496" s="105" customFormat="1"/>
    <row r="497" s="105" customFormat="1"/>
    <row r="498" s="105" customFormat="1"/>
    <row r="499" s="105" customFormat="1"/>
    <row r="500" s="105" customFormat="1"/>
    <row r="501" s="105" customFormat="1"/>
    <row r="502" s="105" customFormat="1"/>
    <row r="503" s="105" customFormat="1"/>
    <row r="504" s="105" customFormat="1"/>
    <row r="505" s="105" customFormat="1"/>
    <row r="506" s="105" customFormat="1"/>
    <row r="507" s="105" customFormat="1"/>
    <row r="508" s="105" customFormat="1"/>
    <row r="509" s="105" customFormat="1"/>
    <row r="510" s="105" customFormat="1"/>
    <row r="511" s="105" customFormat="1"/>
    <row r="512" s="105" customFormat="1"/>
    <row r="513" s="105" customFormat="1"/>
    <row r="514" s="105" customFormat="1"/>
    <row r="515" s="105" customFormat="1"/>
    <row r="516" s="105" customFormat="1"/>
    <row r="517" s="105" customFormat="1"/>
    <row r="518" s="105" customFormat="1"/>
    <row r="519" s="105" customFormat="1"/>
    <row r="520" s="105" customFormat="1"/>
    <row r="521" s="105" customFormat="1"/>
    <row r="522" s="105" customFormat="1"/>
    <row r="523" s="105" customFormat="1"/>
    <row r="524" s="105" customFormat="1"/>
    <row r="525" s="105" customFormat="1"/>
    <row r="526" s="105" customFormat="1"/>
    <row r="527" s="105" customFormat="1"/>
    <row r="528" s="105" customFormat="1"/>
    <row r="529" s="105" customFormat="1"/>
    <row r="530" s="105" customFormat="1"/>
    <row r="531" s="105" customFormat="1"/>
    <row r="532" s="105" customFormat="1"/>
    <row r="533" s="105" customFormat="1"/>
    <row r="534" s="105" customFormat="1"/>
    <row r="535" s="105" customFormat="1"/>
    <row r="536" s="105" customFormat="1"/>
    <row r="537" s="105" customFormat="1"/>
    <row r="538" s="105" customFormat="1"/>
    <row r="539" s="105" customFormat="1"/>
    <row r="540" s="105" customFormat="1"/>
    <row r="541" s="105" customFormat="1"/>
    <row r="542" s="105" customFormat="1"/>
    <row r="543" s="105" customFormat="1"/>
    <row r="544" s="105" customFormat="1"/>
    <row r="545" s="105" customFormat="1"/>
    <row r="546" s="105" customFormat="1"/>
    <row r="547" s="105" customFormat="1"/>
    <row r="548" s="105" customFormat="1"/>
    <row r="549" s="105" customFormat="1"/>
    <row r="550" s="105" customFormat="1"/>
    <row r="551" s="105" customFormat="1"/>
    <row r="552" s="105" customFormat="1"/>
    <row r="553" s="105" customFormat="1"/>
    <row r="554" s="105" customFormat="1"/>
    <row r="555" s="105" customFormat="1"/>
    <row r="556" s="105" customFormat="1"/>
    <row r="557" s="105" customFormat="1"/>
    <row r="558" s="105" customFormat="1"/>
    <row r="559" s="105" customFormat="1"/>
    <row r="560" s="105" customFormat="1"/>
    <row r="561" s="105" customFormat="1"/>
    <row r="562" s="105" customFormat="1"/>
    <row r="563" s="105" customFormat="1"/>
    <row r="564" s="105" customFormat="1"/>
    <row r="565" s="105" customFormat="1"/>
    <row r="566" s="105" customFormat="1"/>
    <row r="567" s="105" customFormat="1"/>
    <row r="568" s="105" customFormat="1"/>
    <row r="569" s="105" customFormat="1"/>
    <row r="570" s="105" customFormat="1"/>
    <row r="571" s="105" customFormat="1"/>
    <row r="572" s="105" customFormat="1"/>
    <row r="573" s="105" customFormat="1"/>
    <row r="574" s="105" customFormat="1"/>
    <row r="575" s="105" customFormat="1"/>
    <row r="576" s="105" customFormat="1"/>
    <row r="577" s="105" customFormat="1"/>
    <row r="578" s="105" customFormat="1"/>
    <row r="579" s="105" customFormat="1"/>
    <row r="580" s="105" customFormat="1"/>
    <row r="581" s="105" customFormat="1"/>
    <row r="582" s="105" customFormat="1"/>
    <row r="583" s="105" customFormat="1"/>
    <row r="584" s="105" customFormat="1"/>
    <row r="585" s="105" customFormat="1"/>
    <row r="586" s="105" customFormat="1"/>
    <row r="587" s="105" customFormat="1"/>
    <row r="588" s="105" customFormat="1"/>
    <row r="589" s="105" customFormat="1"/>
    <row r="590" s="105" customFormat="1"/>
    <row r="591" s="105" customFormat="1"/>
    <row r="592" s="105" customFormat="1"/>
    <row r="593" s="105" customFormat="1"/>
    <row r="594" s="105" customFormat="1"/>
    <row r="595" s="105" customFormat="1"/>
    <row r="596" s="105" customFormat="1"/>
    <row r="597" s="105" customFormat="1"/>
    <row r="598" s="105" customFormat="1"/>
    <row r="599" s="105" customFormat="1"/>
    <row r="600" s="105" customFormat="1"/>
    <row r="601" s="105" customFormat="1"/>
    <row r="602" s="105" customFormat="1"/>
    <row r="603" s="105" customFormat="1"/>
    <row r="604" s="105" customFormat="1"/>
    <row r="605" s="105" customFormat="1"/>
    <row r="606" s="105" customFormat="1"/>
    <row r="607" s="105" customFormat="1"/>
    <row r="608" s="105" customFormat="1"/>
    <row r="609" s="105" customFormat="1"/>
    <row r="610" s="105" customFormat="1"/>
    <row r="611" s="105" customFormat="1"/>
    <row r="612" s="105" customFormat="1"/>
    <row r="613" s="105" customFormat="1"/>
    <row r="614" s="105" customFormat="1"/>
    <row r="615" s="105" customFormat="1"/>
    <row r="616" s="105" customFormat="1"/>
    <row r="617" s="105" customFormat="1"/>
    <row r="618" s="105" customFormat="1"/>
    <row r="619" s="105" customFormat="1"/>
    <row r="620" s="105" customFormat="1"/>
    <row r="621" s="105" customFormat="1"/>
    <row r="622" s="105" customFormat="1"/>
    <row r="623" s="105" customFormat="1"/>
    <row r="624" s="105" customFormat="1"/>
    <row r="625" s="105" customFormat="1"/>
    <row r="626" s="105" customFormat="1"/>
    <row r="627" s="105" customFormat="1"/>
    <row r="628" s="105" customFormat="1"/>
    <row r="629" s="105" customFormat="1"/>
    <row r="630" s="105" customFormat="1"/>
    <row r="631" s="105" customFormat="1"/>
    <row r="632" s="105" customFormat="1"/>
    <row r="633" s="105" customFormat="1"/>
    <row r="634" s="105" customFormat="1"/>
    <row r="635" s="105" customFormat="1"/>
    <row r="636" s="105" customFormat="1"/>
    <row r="637" s="105" customFormat="1"/>
    <row r="638" s="105" customFormat="1"/>
    <row r="639" s="105" customFormat="1"/>
    <row r="640" s="105" customFormat="1"/>
    <row r="641" s="105" customFormat="1"/>
    <row r="642" s="105" customFormat="1"/>
    <row r="643" s="105" customFormat="1"/>
    <row r="644" s="105" customFormat="1"/>
    <row r="645" s="105" customFormat="1"/>
    <row r="646" s="105" customFormat="1"/>
    <row r="647" s="105" customFormat="1"/>
    <row r="648" s="105" customFormat="1"/>
    <row r="649" s="105" customFormat="1"/>
    <row r="650" s="105" customFormat="1"/>
    <row r="651" s="105" customFormat="1"/>
    <row r="652" s="105" customFormat="1"/>
    <row r="653" s="105" customFormat="1"/>
    <row r="654" s="105" customFormat="1"/>
    <row r="655" s="105" customFormat="1"/>
    <row r="656" s="105" customFormat="1"/>
    <row r="657" s="105" customFormat="1"/>
    <row r="658" s="105" customFormat="1"/>
    <row r="659" s="105" customFormat="1"/>
    <row r="660" s="105" customFormat="1"/>
    <row r="661" s="105" customFormat="1"/>
    <row r="662" s="105" customFormat="1"/>
    <row r="663" s="105" customFormat="1"/>
    <row r="664" s="105" customFormat="1"/>
    <row r="665" s="105" customFormat="1"/>
    <row r="666" s="105" customFormat="1"/>
    <row r="667" s="105" customFormat="1"/>
    <row r="668" s="105" customFormat="1"/>
    <row r="669" s="105" customFormat="1"/>
    <row r="670" s="105" customFormat="1"/>
    <row r="671" s="105" customFormat="1"/>
    <row r="672" s="105" customFormat="1"/>
    <row r="673" s="105" customFormat="1"/>
    <row r="674" s="105" customFormat="1"/>
    <row r="675" s="105" customFormat="1"/>
    <row r="676" s="105" customFormat="1"/>
    <row r="677" s="105" customFormat="1"/>
    <row r="678" s="105" customFormat="1"/>
    <row r="679" s="105" customFormat="1"/>
    <row r="680" s="105" customFormat="1"/>
    <row r="681" s="105" customFormat="1"/>
    <row r="682" s="105" customFormat="1"/>
    <row r="683" s="105" customFormat="1"/>
    <row r="684" s="105" customFormat="1"/>
    <row r="685" s="105" customFormat="1"/>
    <row r="686" s="105" customFormat="1"/>
    <row r="687" s="105" customFormat="1"/>
    <row r="688" s="105" customFormat="1"/>
    <row r="689" s="105" customFormat="1"/>
    <row r="690" s="105" customFormat="1"/>
    <row r="691" s="105" customFormat="1"/>
    <row r="692" s="105" customFormat="1"/>
    <row r="693" s="105" customFormat="1"/>
    <row r="694" s="105" customFormat="1"/>
    <row r="695" s="105" customFormat="1"/>
    <row r="696" s="105" customFormat="1"/>
    <row r="697" s="105" customFormat="1"/>
    <row r="698" s="105" customFormat="1"/>
    <row r="699" s="105" customFormat="1"/>
    <row r="700" s="105" customFormat="1"/>
    <row r="701" s="105" customFormat="1"/>
    <row r="702" s="105" customFormat="1"/>
    <row r="703" s="105" customFormat="1"/>
    <row r="704" s="105" customFormat="1"/>
    <row r="705" s="105" customFormat="1"/>
    <row r="706" s="105" customFormat="1"/>
    <row r="707" s="105" customFormat="1"/>
    <row r="708" s="105" customFormat="1"/>
    <row r="709" s="105" customFormat="1"/>
    <row r="710" s="105" customFormat="1"/>
    <row r="711" s="105" customFormat="1"/>
    <row r="712" s="105" customFormat="1"/>
    <row r="713" s="105" customFormat="1"/>
    <row r="714" s="105" customFormat="1"/>
    <row r="715" s="105" customFormat="1"/>
    <row r="716" s="105" customFormat="1"/>
    <row r="717" s="105" customFormat="1"/>
    <row r="718" s="105" customFormat="1"/>
    <row r="719" s="105" customFormat="1"/>
    <row r="720" s="105" customFormat="1"/>
    <row r="721" s="105" customFormat="1"/>
    <row r="722" s="105" customFormat="1"/>
    <row r="723" s="105" customFormat="1"/>
    <row r="724" s="105" customFormat="1"/>
    <row r="725" s="105" customFormat="1"/>
    <row r="726" s="105" customFormat="1"/>
    <row r="727" s="105" customFormat="1"/>
    <row r="728" s="105" customFormat="1"/>
    <row r="729" s="105" customFormat="1"/>
    <row r="730" s="105" customFormat="1"/>
    <row r="731" s="105" customFormat="1"/>
    <row r="732" s="105" customFormat="1"/>
    <row r="733" s="105" customFormat="1"/>
    <row r="734" s="105" customFormat="1"/>
    <row r="735" s="105" customFormat="1"/>
    <row r="736" s="105" customFormat="1"/>
    <row r="737" s="105" customFormat="1"/>
    <row r="738" s="105" customFormat="1"/>
    <row r="739" s="105" customFormat="1"/>
    <row r="740" s="105" customFormat="1"/>
    <row r="741" s="105" customFormat="1"/>
    <row r="742" s="105" customFormat="1"/>
    <row r="743" s="105" customFormat="1"/>
    <row r="744" s="105" customFormat="1"/>
    <row r="745" s="105" customFormat="1"/>
    <row r="746" s="105" customFormat="1"/>
    <row r="747" s="105" customFormat="1"/>
    <row r="748" s="105" customFormat="1"/>
    <row r="749" s="105" customFormat="1"/>
    <row r="750" s="105" customFormat="1"/>
    <row r="751" s="105" customFormat="1"/>
    <row r="752" s="105" customFormat="1"/>
    <row r="753" s="105" customFormat="1"/>
    <row r="754" s="105" customFormat="1"/>
    <row r="755" s="105" customFormat="1"/>
    <row r="756" s="105" customFormat="1"/>
    <row r="757" s="105" customFormat="1"/>
    <row r="758" s="105" customFormat="1"/>
    <row r="759" s="105" customFormat="1"/>
    <row r="760" s="105" customFormat="1"/>
    <row r="761" s="105" customFormat="1"/>
    <row r="762" s="105" customFormat="1"/>
    <row r="763" s="105" customFormat="1"/>
    <row r="764" s="105" customFormat="1"/>
    <row r="765" s="105" customFormat="1"/>
    <row r="766" s="105" customFormat="1"/>
    <row r="767" s="105" customFormat="1"/>
    <row r="768" s="105" customFormat="1"/>
    <row r="769" s="105" customFormat="1"/>
    <row r="770" s="105" customFormat="1"/>
    <row r="771" s="105" customFormat="1"/>
    <row r="772" s="105" customFormat="1"/>
    <row r="773" s="105" customFormat="1"/>
    <row r="774" s="105" customFormat="1"/>
    <row r="775" s="105" customFormat="1"/>
    <row r="776" s="105" customFormat="1"/>
    <row r="777" s="105" customFormat="1"/>
    <row r="778" s="105" customFormat="1"/>
    <row r="779" s="105" customFormat="1"/>
    <row r="780" s="105" customFormat="1"/>
    <row r="781" s="105" customFormat="1"/>
    <row r="782" s="105" customFormat="1"/>
    <row r="783" s="105" customFormat="1"/>
    <row r="784" s="105" customFormat="1"/>
    <row r="785" s="105" customFormat="1"/>
    <row r="786" s="105" customFormat="1"/>
    <row r="787" s="105" customFormat="1"/>
    <row r="788" s="105" customFormat="1"/>
    <row r="789" s="105" customFormat="1"/>
    <row r="790" s="105" customFormat="1"/>
    <row r="791" s="105" customFormat="1"/>
    <row r="792" s="105" customFormat="1"/>
    <row r="793" s="105" customFormat="1"/>
    <row r="794" s="105" customFormat="1"/>
    <row r="795" s="105" customFormat="1"/>
    <row r="796" s="105" customFormat="1"/>
    <row r="797" s="105" customFormat="1"/>
    <row r="798" s="105" customFormat="1"/>
    <row r="799" s="105" customFormat="1"/>
    <row r="800" s="105" customFormat="1"/>
    <row r="801" s="105" customFormat="1"/>
    <row r="802" s="105" customFormat="1"/>
    <row r="803" s="105" customFormat="1"/>
    <row r="804" s="105" customFormat="1"/>
    <row r="805" s="105" customFormat="1"/>
    <row r="806" s="105" customFormat="1"/>
    <row r="807" s="105" customFormat="1"/>
    <row r="808" s="105" customFormat="1"/>
    <row r="809" s="105" customFormat="1"/>
    <row r="810" s="105" customFormat="1"/>
    <row r="811" s="105" customFormat="1"/>
    <row r="812" s="105" customFormat="1"/>
    <row r="813" s="105" customFormat="1"/>
    <row r="814" s="105" customFormat="1"/>
    <row r="815" s="105" customFormat="1"/>
    <row r="816" s="105" customFormat="1"/>
    <row r="817" s="105" customFormat="1"/>
    <row r="818" s="105" customFormat="1"/>
    <row r="819" s="105" customFormat="1"/>
    <row r="820" s="105" customFormat="1"/>
    <row r="821" s="105" customFormat="1"/>
    <row r="822" s="105" customFormat="1"/>
    <row r="823" s="105" customFormat="1"/>
    <row r="824" s="105" customFormat="1"/>
    <row r="825" s="105" customFormat="1"/>
    <row r="826" s="105" customFormat="1"/>
    <row r="827" s="105" customFormat="1"/>
    <row r="828" s="105" customFormat="1"/>
    <row r="829" s="105" customFormat="1"/>
    <row r="830" s="105" customFormat="1"/>
    <row r="831" s="105" customFormat="1"/>
    <row r="832" s="105" customFormat="1"/>
    <row r="833" s="105" customFormat="1"/>
    <row r="834" s="105" customFormat="1"/>
    <row r="835" s="105" customFormat="1"/>
    <row r="836" s="105" customFormat="1"/>
    <row r="837" s="105" customFormat="1"/>
    <row r="838" s="105" customFormat="1"/>
    <row r="839" s="105" customFormat="1"/>
    <row r="840" s="105" customFormat="1"/>
    <row r="841" s="105" customFormat="1"/>
    <row r="842" s="105" customFormat="1"/>
    <row r="843" s="105" customFormat="1"/>
    <row r="844" s="105" customFormat="1"/>
    <row r="845" s="105" customFormat="1"/>
    <row r="846" s="105" customFormat="1"/>
    <row r="847" s="105" customFormat="1"/>
    <row r="848" s="105" customFormat="1"/>
    <row r="849" s="105" customFormat="1"/>
    <row r="850" s="105" customFormat="1"/>
    <row r="851" s="105" customFormat="1"/>
    <row r="852" s="105" customFormat="1"/>
    <row r="853" s="105" customFormat="1"/>
    <row r="854" s="105" customFormat="1"/>
    <row r="855" s="105" customFormat="1"/>
    <row r="856" s="105" customFormat="1"/>
    <row r="857" s="105" customFormat="1"/>
    <row r="858" s="105" customFormat="1"/>
    <row r="859" s="105" customFormat="1"/>
    <row r="860" s="105" customFormat="1"/>
    <row r="861" s="105" customFormat="1"/>
    <row r="862" s="105" customFormat="1"/>
    <row r="863" s="105" customFormat="1"/>
    <row r="864" s="105" customFormat="1"/>
    <row r="865" s="105" customFormat="1"/>
    <row r="866" s="105" customFormat="1"/>
    <row r="867" s="105" customFormat="1"/>
    <row r="868" s="105" customFormat="1"/>
    <row r="869" s="105" customFormat="1"/>
    <row r="870" s="105" customFormat="1"/>
    <row r="871" s="105" customFormat="1"/>
    <row r="872" s="105" customFormat="1"/>
    <row r="873" s="105" customFormat="1"/>
    <row r="874" s="105" customFormat="1"/>
    <row r="875" s="105" customFormat="1"/>
    <row r="876" s="105" customFormat="1"/>
    <row r="877" s="105" customFormat="1"/>
    <row r="878" s="105" customFormat="1"/>
    <row r="879" s="105" customFormat="1"/>
    <row r="880" s="105" customFormat="1"/>
    <row r="881" s="105" customFormat="1"/>
    <row r="882" s="105" customFormat="1"/>
    <row r="883" s="105" customFormat="1"/>
    <row r="884" s="105" customFormat="1"/>
    <row r="885" s="105" customFormat="1"/>
    <row r="886" s="105" customFormat="1"/>
    <row r="887" s="105" customFormat="1"/>
    <row r="888" s="105" customFormat="1"/>
    <row r="889" s="105" customFormat="1"/>
    <row r="890" s="105" customFormat="1"/>
    <row r="891" s="105" customFormat="1"/>
    <row r="892" s="105" customFormat="1"/>
    <row r="893" s="105" customFormat="1"/>
    <row r="894" s="105" customFormat="1"/>
    <row r="895" s="105" customFormat="1"/>
    <row r="896" s="105" customFormat="1"/>
    <row r="897" s="105" customFormat="1"/>
    <row r="898" s="105" customFormat="1"/>
    <row r="899" s="105" customFormat="1"/>
    <row r="900" s="105" customFormat="1"/>
    <row r="901" s="105" customFormat="1"/>
    <row r="902" s="105" customFormat="1"/>
    <row r="903" s="105" customFormat="1"/>
    <row r="904" s="105" customFormat="1"/>
    <row r="905" s="105" customFormat="1"/>
    <row r="906" s="105" customFormat="1"/>
    <row r="907" s="105" customFormat="1"/>
    <row r="908" s="105" customFormat="1"/>
    <row r="909" s="105" customFormat="1"/>
    <row r="910" s="105" customFormat="1"/>
    <row r="911" s="105" customFormat="1"/>
    <row r="912" s="105" customFormat="1"/>
    <row r="913" s="105" customFormat="1"/>
    <row r="914" s="105" customFormat="1"/>
    <row r="915" s="105" customFormat="1"/>
    <row r="916" s="105" customFormat="1"/>
    <row r="917" s="105" customFormat="1"/>
    <row r="918" s="105" customFormat="1"/>
    <row r="919" s="105" customFormat="1"/>
    <row r="920" s="105" customFormat="1"/>
    <row r="921" s="105" customFormat="1"/>
    <row r="922" s="105" customFormat="1"/>
    <row r="923" s="105" customFormat="1"/>
    <row r="924" s="105" customFormat="1"/>
    <row r="925" s="105" customFormat="1"/>
    <row r="926" s="105" customFormat="1"/>
    <row r="927" s="105" customFormat="1"/>
    <row r="928" s="105" customFormat="1"/>
    <row r="929" s="105" customFormat="1"/>
    <row r="930" s="105" customFormat="1"/>
    <row r="931" s="105" customFormat="1"/>
    <row r="932" s="105" customFormat="1"/>
    <row r="933" s="105" customFormat="1"/>
    <row r="934" s="105" customFormat="1"/>
    <row r="935" s="105" customFormat="1"/>
    <row r="936" s="105" customFormat="1"/>
    <row r="937" s="105" customFormat="1"/>
    <row r="938" s="105" customFormat="1"/>
    <row r="939" s="105" customFormat="1"/>
    <row r="940" s="105" customFormat="1"/>
    <row r="941" s="105" customFormat="1"/>
    <row r="942" s="105" customFormat="1"/>
    <row r="943" s="105" customFormat="1"/>
    <row r="944" s="105" customFormat="1"/>
    <row r="945" s="105" customFormat="1"/>
    <row r="946" s="105" customFormat="1"/>
    <row r="947" s="105" customFormat="1"/>
    <row r="948" s="105" customFormat="1"/>
    <row r="949" s="105" customFormat="1"/>
    <row r="950" s="105" customFormat="1"/>
    <row r="951" s="105" customFormat="1"/>
    <row r="952" s="105" customFormat="1"/>
    <row r="953" s="105" customFormat="1"/>
    <row r="954" s="105" customFormat="1"/>
    <row r="955" s="105" customFormat="1"/>
    <row r="956" s="105" customFormat="1"/>
    <row r="957" s="105" customFormat="1"/>
    <row r="958" s="105" customFormat="1"/>
    <row r="959" s="105" customFormat="1"/>
    <row r="960" s="105" customFormat="1"/>
    <row r="961" s="105" customFormat="1"/>
    <row r="962" s="105" customFormat="1"/>
    <row r="963" s="105" customFormat="1"/>
    <row r="964" s="105" customFormat="1"/>
    <row r="965" s="105" customFormat="1"/>
    <row r="966" s="105" customFormat="1"/>
    <row r="967" s="105" customFormat="1"/>
    <row r="968" s="105" customFormat="1"/>
    <row r="969" s="105" customFormat="1"/>
    <row r="970" s="105" customFormat="1"/>
    <row r="971" s="105" customFormat="1"/>
    <row r="972" s="105" customFormat="1"/>
    <row r="973" s="105" customFormat="1"/>
    <row r="974" s="105" customFormat="1"/>
    <row r="975" s="105" customFormat="1"/>
    <row r="976" s="105" customFormat="1"/>
    <row r="977" s="105" customFormat="1"/>
    <row r="978" s="105" customFormat="1"/>
    <row r="979" s="105" customFormat="1"/>
    <row r="980" s="105" customFormat="1"/>
    <row r="981" s="105" customFormat="1"/>
    <row r="982" s="105" customFormat="1"/>
    <row r="983" s="105" customFormat="1"/>
    <row r="984" s="105" customFormat="1"/>
    <row r="985" s="105" customFormat="1"/>
    <row r="986" s="105" customFormat="1"/>
    <row r="987" s="105" customFormat="1"/>
    <row r="988" s="105" customFormat="1"/>
    <row r="989" s="105" customFormat="1"/>
    <row r="990" s="105" customFormat="1"/>
    <row r="991" s="105" customFormat="1"/>
    <row r="992" s="105" customFormat="1"/>
    <row r="993" s="105" customFormat="1"/>
    <row r="994" s="105" customFormat="1"/>
    <row r="995" s="105" customFormat="1"/>
    <row r="996" s="105" customFormat="1"/>
    <row r="997" s="105" customFormat="1"/>
    <row r="998" s="105" customFormat="1"/>
    <row r="999" s="105" customFormat="1"/>
    <row r="1000" s="105" customFormat="1"/>
    <row r="1001" s="105" customFormat="1"/>
    <row r="1002" s="105" customFormat="1"/>
    <row r="1003" s="105" customFormat="1"/>
    <row r="1004" s="105" customFormat="1"/>
    <row r="1005" s="105" customFormat="1"/>
    <row r="1006" s="105" customFormat="1"/>
    <row r="1007" s="105" customFormat="1"/>
    <row r="1008" s="105" customFormat="1"/>
    <row r="1009" s="105" customFormat="1"/>
    <row r="1010" s="105" customFormat="1"/>
    <row r="1011" s="105" customFormat="1"/>
    <row r="1012" s="105" customFormat="1"/>
    <row r="1013" s="105" customFormat="1"/>
    <row r="1014" s="105" customFormat="1"/>
    <row r="1015" s="105" customFormat="1"/>
    <row r="1016" s="105" customFormat="1"/>
    <row r="1017" s="105" customFormat="1"/>
    <row r="1018" s="105" customFormat="1"/>
    <row r="1019" s="105" customFormat="1"/>
    <row r="1020" s="105" customFormat="1"/>
    <row r="1021" s="105" customFormat="1"/>
    <row r="1022" s="105" customFormat="1"/>
    <row r="1023" s="105" customFormat="1"/>
    <row r="1024" s="105" customFormat="1"/>
    <row r="1025" s="105" customFormat="1"/>
    <row r="1026" s="105" customFormat="1"/>
    <row r="1027" s="105" customFormat="1"/>
    <row r="1028" s="105" customFormat="1"/>
    <row r="1029" s="105" customFormat="1"/>
    <row r="1030" s="105" customFormat="1"/>
    <row r="1031" s="105" customFormat="1"/>
    <row r="1032" s="105" customFormat="1"/>
    <row r="1033" s="105" customFormat="1"/>
    <row r="1034" s="105" customFormat="1"/>
    <row r="1035" s="105" customFormat="1"/>
    <row r="1036" s="105" customFormat="1"/>
    <row r="1037" s="105" customFormat="1"/>
    <row r="1038" s="105" customFormat="1"/>
    <row r="1039" s="105" customFormat="1"/>
    <row r="1040" s="105" customFormat="1"/>
    <row r="1041" s="105" customFormat="1"/>
    <row r="1042" s="105" customFormat="1"/>
    <row r="1043" s="105" customFormat="1"/>
    <row r="1044" s="105" customFormat="1"/>
    <row r="1045" s="105" customFormat="1"/>
    <row r="1046" s="105" customFormat="1"/>
    <row r="1047" s="105" customFormat="1"/>
    <row r="1048" s="105" customFormat="1"/>
    <row r="1049" s="105" customFormat="1"/>
    <row r="1050" s="105" customFormat="1"/>
    <row r="1051" s="105" customFormat="1"/>
    <row r="1052" s="105" customFormat="1"/>
    <row r="1053" s="105" customFormat="1"/>
    <row r="1054" s="105" customFormat="1"/>
    <row r="1055" s="105" customFormat="1"/>
    <row r="1056" s="105" customFormat="1"/>
    <row r="1057" s="105" customFormat="1"/>
    <row r="1058" s="105" customFormat="1"/>
    <row r="1059" s="105" customFormat="1"/>
    <row r="1060" s="105" customFormat="1"/>
    <row r="1061" s="105" customFormat="1"/>
    <row r="1062" s="105" customFormat="1"/>
    <row r="1063" s="105" customFormat="1"/>
    <row r="1064" s="105" customFormat="1"/>
    <row r="1065" s="105" customFormat="1"/>
    <row r="1066" s="105" customFormat="1"/>
    <row r="1067" s="105" customFormat="1"/>
    <row r="1068" s="105" customFormat="1"/>
    <row r="1069" s="105" customFormat="1"/>
    <row r="1070" s="105" customFormat="1"/>
    <row r="1071" s="105" customFormat="1"/>
    <row r="1072" s="105" customFormat="1"/>
    <row r="1073" s="105" customFormat="1"/>
    <row r="1074" s="105" customFormat="1"/>
    <row r="1075" s="105" customFormat="1"/>
    <row r="1076" s="105" customFormat="1"/>
    <row r="1077" s="105" customFormat="1"/>
    <row r="1078" s="105" customFormat="1"/>
    <row r="1079" s="105" customFormat="1"/>
    <row r="1080" s="105" customFormat="1"/>
    <row r="1081" s="105" customFormat="1"/>
    <row r="1082" s="105" customFormat="1"/>
    <row r="1083" s="105" customFormat="1"/>
    <row r="1084" s="105" customFormat="1"/>
    <row r="1085" s="105" customFormat="1"/>
    <row r="1086" s="105" customFormat="1"/>
    <row r="1087" s="105" customFormat="1"/>
    <row r="1088" s="105" customFormat="1"/>
    <row r="1089" s="105" customFormat="1"/>
    <row r="1090" s="105" customFormat="1"/>
    <row r="1091" s="105" customFormat="1"/>
    <row r="1092" s="105" customFormat="1"/>
    <row r="1093" s="105" customFormat="1"/>
    <row r="1094" s="105" customFormat="1"/>
    <row r="1095" s="105" customFormat="1"/>
    <row r="1096" s="105" customFormat="1"/>
    <row r="1097" s="105" customFormat="1"/>
    <row r="1098" s="105" customFormat="1"/>
    <row r="1099" s="105" customFormat="1"/>
    <row r="1100" s="105" customFormat="1"/>
    <row r="1101" s="105" customFormat="1"/>
    <row r="1102" s="105" customFormat="1"/>
    <row r="1103" s="105" customFormat="1"/>
    <row r="1104" s="105" customFormat="1"/>
    <row r="1105" s="105" customFormat="1"/>
    <row r="1106" s="105" customFormat="1"/>
    <row r="1107" s="105" customFormat="1"/>
    <row r="1108" s="105" customFormat="1"/>
    <row r="1109" s="105" customFormat="1"/>
    <row r="1110" s="105" customFormat="1"/>
    <row r="1111" s="105" customFormat="1"/>
    <row r="1112" s="105" customFormat="1"/>
    <row r="1113" s="105" customFormat="1"/>
    <row r="1114" s="105" customFormat="1"/>
    <row r="1115" s="105" customFormat="1"/>
    <row r="1116" s="105" customFormat="1"/>
    <row r="1117" s="105" customFormat="1"/>
    <row r="1118" s="105" customFormat="1"/>
    <row r="1119" s="105" customFormat="1"/>
    <row r="1120" s="105" customFormat="1"/>
    <row r="1121" s="105" customFormat="1"/>
    <row r="1122" s="105" customFormat="1"/>
    <row r="1123" s="105" customFormat="1"/>
    <row r="1124" s="105" customFormat="1"/>
    <row r="1125" s="105" customFormat="1"/>
    <row r="1126" s="105" customFormat="1"/>
    <row r="1127" s="105" customFormat="1"/>
    <row r="1128" s="105" customFormat="1"/>
    <row r="1129" s="105" customFormat="1"/>
    <row r="1130" s="105" customFormat="1"/>
    <row r="1131" s="105" customFormat="1"/>
    <row r="1132" s="105" customFormat="1"/>
    <row r="1133" s="105" customFormat="1"/>
    <row r="1134" s="105" customFormat="1"/>
    <row r="1135" s="105" customFormat="1"/>
    <row r="1136" s="105" customFormat="1"/>
    <row r="1137" s="105" customFormat="1"/>
    <row r="1138" s="105" customFormat="1"/>
    <row r="1139" s="105" customFormat="1"/>
    <row r="1140" s="105" customFormat="1"/>
    <row r="1141" s="105" customFormat="1"/>
    <row r="1142" s="105" customFormat="1"/>
    <row r="1143" s="105" customFormat="1"/>
    <row r="1144" s="105" customFormat="1"/>
    <row r="1145" s="105" customFormat="1"/>
    <row r="1146" s="105" customFormat="1"/>
    <row r="1147" s="105" customFormat="1"/>
    <row r="1148" s="105" customFormat="1"/>
    <row r="1149" s="105" customFormat="1"/>
    <row r="1150" s="105" customFormat="1"/>
    <row r="1151" s="105" customFormat="1"/>
    <row r="1152" s="105" customFormat="1"/>
    <row r="1153" s="105" customFormat="1"/>
    <row r="1154" s="105" customFormat="1"/>
    <row r="1155" s="105" customFormat="1"/>
    <row r="1156" s="105" customFormat="1"/>
    <row r="1157" s="105" customFormat="1"/>
    <row r="1158" s="105" customFormat="1"/>
    <row r="1159" s="105" customFormat="1"/>
    <row r="1160" s="105" customFormat="1"/>
    <row r="1161" s="105" customFormat="1"/>
    <row r="1162" s="105" customFormat="1"/>
    <row r="1163" s="105" customFormat="1"/>
    <row r="1164" s="105" customFormat="1"/>
    <row r="1165" s="105" customFormat="1"/>
    <row r="1166" s="105" customFormat="1"/>
    <row r="1167" s="105" customFormat="1"/>
    <row r="1168" s="105" customFormat="1"/>
    <row r="1169" s="105" customFormat="1"/>
    <row r="1170" s="105" customFormat="1"/>
    <row r="1171" s="105" customFormat="1"/>
    <row r="1172" s="105" customFormat="1"/>
    <row r="1173" s="105" customFormat="1"/>
    <row r="1174" s="105" customFormat="1"/>
    <row r="1175" s="105" customFormat="1"/>
    <row r="1176" s="105" customFormat="1"/>
    <row r="1177" s="105" customFormat="1"/>
    <row r="1178" s="105" customFormat="1"/>
    <row r="1179" s="105" customFormat="1"/>
    <row r="1180" s="105" customFormat="1"/>
    <row r="1181" s="105" customFormat="1"/>
    <row r="1182" s="105" customFormat="1"/>
  </sheetData>
  <sheetProtection sheet="1" objects="1" selectLockedCells="1"/>
  <mergeCells count="98">
    <mergeCell ref="G29:H29"/>
    <mergeCell ref="G27:H27"/>
    <mergeCell ref="B31:C31"/>
    <mergeCell ref="G25:H25"/>
    <mergeCell ref="G19:H19"/>
    <mergeCell ref="G21:H21"/>
    <mergeCell ref="G23:H23"/>
    <mergeCell ref="G31:H31"/>
    <mergeCell ref="D31:E31"/>
    <mergeCell ref="B19:C19"/>
    <mergeCell ref="B21:C21"/>
    <mergeCell ref="B23:C23"/>
    <mergeCell ref="B25:C25"/>
    <mergeCell ref="B27:C27"/>
    <mergeCell ref="B29:C29"/>
    <mergeCell ref="B2:I3"/>
    <mergeCell ref="B5:C6"/>
    <mergeCell ref="E5:F6"/>
    <mergeCell ref="H5:I6"/>
    <mergeCell ref="B15:C16"/>
    <mergeCell ref="E15:F16"/>
    <mergeCell ref="H15:I16"/>
    <mergeCell ref="B34:I34"/>
    <mergeCell ref="B35:I35"/>
    <mergeCell ref="B36:I36"/>
    <mergeCell ref="B38:I38"/>
    <mergeCell ref="B39:I39"/>
    <mergeCell ref="B52:I52"/>
    <mergeCell ref="B53:I53"/>
    <mergeCell ref="B42:I42"/>
    <mergeCell ref="B44:I44"/>
    <mergeCell ref="B45:I45"/>
    <mergeCell ref="B54:I54"/>
    <mergeCell ref="B55:I55"/>
    <mergeCell ref="B56:I56"/>
    <mergeCell ref="B57:I57"/>
    <mergeCell ref="B58:I58"/>
    <mergeCell ref="B59:I59"/>
    <mergeCell ref="B60:I60"/>
    <mergeCell ref="B61:I61"/>
    <mergeCell ref="B62:I62"/>
    <mergeCell ref="B63:I63"/>
    <mergeCell ref="B40:I40"/>
    <mergeCell ref="B51:I51"/>
    <mergeCell ref="B50:I50"/>
    <mergeCell ref="B49:I49"/>
    <mergeCell ref="B46:I46"/>
    <mergeCell ref="B47:I47"/>
    <mergeCell ref="B43:I43"/>
    <mergeCell ref="S2:Z3"/>
    <mergeCell ref="S5:T6"/>
    <mergeCell ref="V5:W6"/>
    <mergeCell ref="Y5:Z6"/>
    <mergeCell ref="S15:T16"/>
    <mergeCell ref="V15:W16"/>
    <mergeCell ref="Y15:Z16"/>
    <mergeCell ref="S19:T19"/>
    <mergeCell ref="X19:Y19"/>
    <mergeCell ref="S21:T21"/>
    <mergeCell ref="X21:Y21"/>
    <mergeCell ref="S23:T23"/>
    <mergeCell ref="X23:Y23"/>
    <mergeCell ref="S25:T25"/>
    <mergeCell ref="X25:Y25"/>
    <mergeCell ref="S27:T27"/>
    <mergeCell ref="X27:Y27"/>
    <mergeCell ref="S29:T29"/>
    <mergeCell ref="X29:Y29"/>
    <mergeCell ref="S31:T31"/>
    <mergeCell ref="U31:V31"/>
    <mergeCell ref="X31:Y31"/>
    <mergeCell ref="S34:Z34"/>
    <mergeCell ref="S35:Z35"/>
    <mergeCell ref="S36:Z36"/>
    <mergeCell ref="S38:Z38"/>
    <mergeCell ref="S39:Z39"/>
    <mergeCell ref="S40:Z40"/>
    <mergeCell ref="S42:Z42"/>
    <mergeCell ref="S43:Z43"/>
    <mergeCell ref="S44:Z44"/>
    <mergeCell ref="S45:Z45"/>
    <mergeCell ref="S46:Z46"/>
    <mergeCell ref="S47:Z47"/>
    <mergeCell ref="S49:Z49"/>
    <mergeCell ref="S50:Z50"/>
    <mergeCell ref="S51:Z51"/>
    <mergeCell ref="S52:Z52"/>
    <mergeCell ref="S53:Z53"/>
    <mergeCell ref="S54:Z54"/>
    <mergeCell ref="S55:Z55"/>
    <mergeCell ref="S56:Z56"/>
    <mergeCell ref="S57:Z57"/>
    <mergeCell ref="S58:Z58"/>
    <mergeCell ref="S59:Z59"/>
    <mergeCell ref="S60:Z60"/>
    <mergeCell ref="S61:Z61"/>
    <mergeCell ref="S62:Z62"/>
    <mergeCell ref="S63:Z63"/>
  </mergeCells>
  <pageMargins left="0" right="0" top="0" bottom="0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00000000-0002-0000-0000-000001000000}">
          <x14:formula1>
            <xm:f>'facts-alt'!$I$20:$I$22</xm:f>
          </x14:formula1>
          <xm:sqref>G21:H22 X21:Y22</xm:sqref>
        </x14:dataValidation>
        <x14:dataValidation type="list" allowBlank="1" showInputMessage="1" showErrorMessage="1" xr:uid="{00000000-0002-0000-0000-000002000000}">
          <x14:formula1>
            <xm:f>verschluss!$A$10:$A$19</xm:f>
          </x14:formula1>
          <xm:sqref>D31:E31 U31:V31</xm:sqref>
        </x14:dataValidation>
        <x14:dataValidation type="list" allowBlank="1" showInputMessage="1" showErrorMessage="1" xr:uid="{00000000-0002-0000-0000-000003000000}">
          <x14:formula1>
            <xm:f>'facts-alt'!$M$23:$M$24</xm:f>
          </x14:formula1>
          <xm:sqref>G28:H28 G30:H30 X28:Y28 X30:Y30</xm:sqref>
        </x14:dataValidation>
        <x14:dataValidation type="list" allowBlank="1" showInputMessage="1" showErrorMessage="1" xr:uid="{00000000-0002-0000-0000-000004000000}">
          <x14:formula1>
            <xm:f>'facts-alt'!$B$64:$B$65</xm:f>
          </x14:formula1>
          <xm:sqref>G26:H26 X26:Y26</xm:sqref>
        </x14:dataValidation>
        <x14:dataValidation type="list" allowBlank="1" showInputMessage="1" showErrorMessage="1" xr:uid="{00000000-0002-0000-0000-000005000000}">
          <x14:formula1>
            <xm:f>'facts-alt'!$K$23:$K$24</xm:f>
          </x14:formula1>
          <xm:sqref>X25:Y25</xm:sqref>
        </x14:dataValidation>
        <x14:dataValidation type="list" allowBlank="1" showInputMessage="1" showErrorMessage="1" xr:uid="{00000000-0002-0000-0000-000006000000}">
          <x14:formula1>
            <xm:f>'facts-alt'!$K$20:$K$22</xm:f>
          </x14:formula1>
          <xm:sqref>X23:Y23</xm:sqref>
        </x14:dataValidation>
        <x14:dataValidation type="list" allowBlank="1" showInputMessage="1" showErrorMessage="1" xr:uid="{00000000-0002-0000-0000-000007000000}">
          <x14:formula1>
            <xm:f>'facts-alt'!$G$64:$G$65</xm:f>
          </x14:formula1>
          <xm:sqref>X31:Y31</xm:sqref>
        </x14:dataValidation>
        <x14:dataValidation type="list" allowBlank="1" showInputMessage="1" showErrorMessage="1" xr:uid="{00000000-0002-0000-0000-000008000000}">
          <x14:formula1>
            <xm:f>'facts-alt'!$K$25:$K$27</xm:f>
          </x14:formula1>
          <xm:sqref>X27:Y27</xm:sqref>
        </x14:dataValidation>
        <x14:dataValidation type="list" allowBlank="1" showInputMessage="1" showErrorMessage="1" xr:uid="{00000000-0002-0000-0000-000009000000}">
          <x14:formula1>
            <xm:f>'facts-alt'!$K$37:$K$84</xm:f>
          </x14:formula1>
          <xm:sqref>D26 U26</xm:sqref>
        </x14:dataValidation>
        <x14:dataValidation type="list" allowBlank="1" showInputMessage="1" showErrorMessage="1" xr:uid="{00000000-0002-0000-0000-00000A000000}">
          <x14:formula1>
            <xm:f>'facts-alt'!$K$37:$K$86</xm:f>
          </x14:formula1>
          <xm:sqref>X29:Y29</xm:sqref>
        </x14:dataValidation>
        <x14:dataValidation type="list" allowBlank="1" showInputMessage="1" showErrorMessage="1" xr:uid="{00000000-0002-0000-0000-00000B000000}">
          <x14:formula1>
            <xm:f>'facts-alt'!$J$23:$J$24</xm:f>
          </x14:formula1>
          <xm:sqref>D29 U29</xm:sqref>
        </x14:dataValidation>
        <x14:dataValidation type="list" allowBlank="1" showInputMessage="1" showErrorMessage="1" xr:uid="{00000000-0002-0000-0000-00000D000000}">
          <x14:formula1>
            <xm:f>material!$A$14:$A$63</xm:f>
          </x14:formula1>
          <xm:sqref>D25 U25</xm:sqref>
        </x14:dataValidation>
        <x14:dataValidation type="list" allowBlank="1" showInputMessage="1" showErrorMessage="1" xr:uid="{00000000-0002-0000-0000-000000000000}">
          <x14:formula1>
            <xm:f>'facts-alt'!$B$32:$B$34</xm:f>
          </x14:formula1>
          <xm:sqref>H20 Y20</xm:sqref>
        </x14:dataValidation>
        <x14:dataValidation type="list" allowBlank="1" showInputMessage="1" showErrorMessage="1" xr:uid="{00000000-0002-0000-0000-00000C000000}">
          <x14:formula1>
            <xm:f>'facts-alt'!$B$32:$B$35</xm:f>
          </x14:formula1>
          <xm:sqref>G19:H19 X19:Y19</xm:sqref>
        </x14:dataValidation>
        <x14:dataValidation type="list" allowBlank="1" showInputMessage="1" showErrorMessage="1" xr:uid="{9EA0C09D-5E4C-4DA9-8B50-23966EC1D9DD}">
          <x14:formula1>
            <xm:f>'facts-alt'!$K$36:$K$86</xm:f>
          </x14:formula1>
          <xm:sqref>G23:H23 G29:H29 G25:H25 G27:H27 G31:H31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96"/>
  <sheetViews>
    <sheetView topLeftCell="A11" zoomScaleNormal="100" workbookViewId="0">
      <selection activeCell="M52" sqref="M52"/>
    </sheetView>
  </sheetViews>
  <sheetFormatPr baseColWidth="10" defaultRowHeight="15"/>
  <cols>
    <col min="1" max="1" width="3.7109375" style="2" customWidth="1"/>
    <col min="2" max="2" width="22.5703125" style="2" customWidth="1"/>
    <col min="3" max="3" width="11.7109375" style="3" customWidth="1"/>
    <col min="4" max="4" width="11.7109375" style="88" customWidth="1"/>
    <col min="5" max="6" width="11.42578125" style="3"/>
    <col min="7" max="8" width="11.42578125" style="2"/>
    <col min="9" max="10" width="11.42578125" style="2" customWidth="1"/>
    <col min="11" max="16384" width="11.42578125" style="2"/>
  </cols>
  <sheetData>
    <row r="1" spans="1:9">
      <c r="A1" s="4"/>
      <c r="B1" s="4"/>
      <c r="C1" s="5"/>
      <c r="D1" s="83"/>
      <c r="E1" s="5"/>
      <c r="F1" s="5"/>
      <c r="G1" s="4"/>
      <c r="H1" s="4"/>
      <c r="I1" s="4"/>
    </row>
    <row r="2" spans="1:9">
      <c r="A2" s="4"/>
      <c r="B2" s="4"/>
      <c r="C2" s="5"/>
      <c r="D2" s="83"/>
      <c r="E2" s="5"/>
      <c r="F2" s="5"/>
      <c r="G2" s="4"/>
      <c r="H2" s="4"/>
      <c r="I2" s="4"/>
    </row>
    <row r="3" spans="1:9">
      <c r="A3" s="4"/>
      <c r="B3" s="4"/>
      <c r="C3" s="5"/>
      <c r="D3" s="83"/>
      <c r="E3" s="5"/>
      <c r="F3" s="5"/>
      <c r="G3" s="4"/>
      <c r="H3" s="4"/>
      <c r="I3" s="4"/>
    </row>
    <row r="4" spans="1:9">
      <c r="A4" s="4"/>
      <c r="B4" s="4"/>
      <c r="C4" s="5"/>
      <c r="D4" s="83"/>
      <c r="E4" s="5"/>
      <c r="F4" s="5"/>
      <c r="G4" s="4"/>
      <c r="H4" s="4"/>
      <c r="I4" s="4"/>
    </row>
    <row r="5" spans="1:9">
      <c r="A5" s="4"/>
      <c r="B5" s="4"/>
      <c r="C5" s="5"/>
      <c r="D5" s="83"/>
      <c r="E5" s="5"/>
      <c r="F5" s="5"/>
      <c r="G5" s="4"/>
      <c r="H5" s="4"/>
      <c r="I5" s="4"/>
    </row>
    <row r="6" spans="1:9">
      <c r="A6" s="4"/>
      <c r="B6" s="4"/>
      <c r="C6" s="5"/>
      <c r="D6" s="83"/>
      <c r="E6" s="5"/>
      <c r="F6" s="5"/>
      <c r="G6" s="4"/>
      <c r="H6" s="4"/>
      <c r="I6" s="4"/>
    </row>
    <row r="7" spans="1:9">
      <c r="A7" s="4"/>
      <c r="B7" s="4"/>
      <c r="C7" s="5"/>
      <c r="D7" s="83"/>
      <c r="E7" s="5"/>
      <c r="F7" s="5"/>
      <c r="G7" s="4"/>
      <c r="H7" s="4"/>
      <c r="I7" s="4"/>
    </row>
    <row r="8" spans="1:9">
      <c r="A8" s="4"/>
      <c r="B8" s="4"/>
      <c r="C8" s="5"/>
      <c r="D8" s="83"/>
      <c r="E8" s="5"/>
      <c r="F8" s="5"/>
      <c r="G8" s="4"/>
      <c r="H8" s="4"/>
      <c r="I8" s="4"/>
    </row>
    <row r="9" spans="1:9" s="9" customFormat="1">
      <c r="A9" s="6"/>
      <c r="B9" s="7" t="s">
        <v>59</v>
      </c>
      <c r="C9" s="8"/>
      <c r="D9" s="451" t="s">
        <v>60</v>
      </c>
      <c r="E9" s="451"/>
      <c r="F9" s="8"/>
      <c r="G9" s="451" t="s">
        <v>61</v>
      </c>
      <c r="H9" s="451"/>
      <c r="I9" s="6"/>
    </row>
    <row r="10" spans="1:9">
      <c r="A10" s="4"/>
      <c r="B10" s="4"/>
      <c r="C10" s="5"/>
      <c r="D10" s="83"/>
      <c r="E10" s="5"/>
      <c r="F10" s="5"/>
      <c r="G10" s="4"/>
      <c r="H10" s="4"/>
      <c r="I10" s="4"/>
    </row>
    <row r="11" spans="1:9">
      <c r="A11" s="4"/>
      <c r="B11" s="149">
        <f>E86</f>
        <v>2.9553226538085937</v>
      </c>
      <c r="C11" s="5" t="s">
        <v>55</v>
      </c>
      <c r="D11" s="452">
        <f>F86</f>
        <v>3.3757610937499996</v>
      </c>
      <c r="E11" s="453"/>
      <c r="F11" s="5" t="s">
        <v>55</v>
      </c>
      <c r="G11" s="452">
        <f>G86</f>
        <v>4.0895652319335936</v>
      </c>
      <c r="H11" s="453"/>
      <c r="I11" s="5" t="s">
        <v>55</v>
      </c>
    </row>
    <row r="12" spans="1:9">
      <c r="A12" s="4"/>
      <c r="B12" s="66"/>
      <c r="C12" s="5"/>
      <c r="D12" s="67"/>
      <c r="E12" s="7"/>
      <c r="F12" s="5"/>
      <c r="G12" s="66"/>
      <c r="H12" s="7"/>
      <c r="I12" s="5"/>
    </row>
    <row r="13" spans="1:9">
      <c r="A13" s="4"/>
      <c r="B13" s="148">
        <f>E68</f>
        <v>1.5806249999999999</v>
      </c>
      <c r="C13" s="5" t="s">
        <v>56</v>
      </c>
      <c r="D13" s="455">
        <f>F68</f>
        <v>1.8649999999999998</v>
      </c>
      <c r="E13" s="455"/>
      <c r="F13" s="5" t="s">
        <v>56</v>
      </c>
      <c r="G13" s="455">
        <f>G68</f>
        <v>2.3493749999999998</v>
      </c>
      <c r="H13" s="455"/>
      <c r="I13" s="5" t="s">
        <v>56</v>
      </c>
    </row>
    <row r="14" spans="1:9">
      <c r="A14" s="4"/>
      <c r="B14" s="64">
        <f>B11*$C$24</f>
        <v>1477.6613269042969</v>
      </c>
      <c r="C14" s="5" t="s">
        <v>51</v>
      </c>
      <c r="D14" s="454">
        <f>D11*$C$24</f>
        <v>1687.8805468749997</v>
      </c>
      <c r="E14" s="454"/>
      <c r="F14" s="65" t="s">
        <v>51</v>
      </c>
      <c r="G14" s="454">
        <f>G11*$C$24</f>
        <v>2044.7826159667968</v>
      </c>
      <c r="H14" s="454"/>
      <c r="I14" s="65" t="s">
        <v>51</v>
      </c>
    </row>
    <row r="15" spans="1:9">
      <c r="A15" s="4"/>
      <c r="B15" s="64">
        <f>E69</f>
        <v>790.3125</v>
      </c>
      <c r="C15" s="5" t="s">
        <v>52</v>
      </c>
      <c r="D15" s="454">
        <f>F69</f>
        <v>932.49999999999989</v>
      </c>
      <c r="E15" s="454"/>
      <c r="F15" s="5" t="s">
        <v>52</v>
      </c>
      <c r="G15" s="454">
        <f>G69</f>
        <v>1174.6874999999998</v>
      </c>
      <c r="H15" s="454"/>
      <c r="I15" s="5" t="s">
        <v>52</v>
      </c>
    </row>
    <row r="16" spans="1:9">
      <c r="A16" s="4"/>
      <c r="B16" s="66">
        <f>B14-B15</f>
        <v>687.34882690429686</v>
      </c>
      <c r="C16" s="5" t="s">
        <v>54</v>
      </c>
      <c r="D16" s="447">
        <f>D14-D15</f>
        <v>755.38054687499982</v>
      </c>
      <c r="E16" s="447"/>
      <c r="F16" s="5" t="s">
        <v>54</v>
      </c>
      <c r="G16" s="447">
        <f>G14-G15</f>
        <v>870.09511596679704</v>
      </c>
      <c r="H16" s="447"/>
      <c r="I16" s="5" t="s">
        <v>54</v>
      </c>
    </row>
    <row r="17" spans="2:13" s="4" customFormat="1">
      <c r="B17" s="64">
        <f>(B16*100)/B14</f>
        <v>46.515992155272407</v>
      </c>
      <c r="C17" s="5" t="s">
        <v>53</v>
      </c>
      <c r="D17" s="454">
        <f>(D16*100)/D14</f>
        <v>44.753199405819174</v>
      </c>
      <c r="E17" s="454"/>
      <c r="F17" s="5" t="s">
        <v>53</v>
      </c>
      <c r="G17" s="454">
        <f>(G16*100)/G14</f>
        <v>42.55196171820964</v>
      </c>
      <c r="H17" s="454"/>
      <c r="I17" s="5" t="s">
        <v>53</v>
      </c>
    </row>
    <row r="18" spans="2:13" s="4" customFormat="1">
      <c r="B18" s="64"/>
      <c r="C18" s="5"/>
      <c r="D18" s="84"/>
      <c r="E18" s="64"/>
      <c r="F18" s="5"/>
      <c r="G18" s="64"/>
      <c r="H18" s="64"/>
    </row>
    <row r="19" spans="2:13" s="4" customFormat="1">
      <c r="B19" s="68"/>
      <c r="C19" s="69" t="s">
        <v>57</v>
      </c>
      <c r="D19" s="80" t="s">
        <v>58</v>
      </c>
      <c r="E19" s="69"/>
      <c r="F19" s="70"/>
    </row>
    <row r="20" spans="2:13">
      <c r="B20" s="71" t="s">
        <v>11</v>
      </c>
      <c r="C20" s="76">
        <f>mycut!D19</f>
        <v>250</v>
      </c>
      <c r="D20" s="111">
        <f>C20-40</f>
        <v>210</v>
      </c>
      <c r="E20" s="73" t="s">
        <v>18</v>
      </c>
      <c r="F20" s="78" t="str">
        <f>mycut!G19</f>
        <v>EB-Welle 4 mm</v>
      </c>
      <c r="G20" s="2">
        <f>VLOOKUP(F20,B32:C35,2,FALSE)</f>
        <v>4</v>
      </c>
      <c r="H20" s="2" t="s">
        <v>15</v>
      </c>
      <c r="I20" s="2" t="s">
        <v>2</v>
      </c>
      <c r="J20" s="2">
        <v>1</v>
      </c>
      <c r="K20" s="2" t="s">
        <v>87</v>
      </c>
    </row>
    <row r="21" spans="2:13">
      <c r="B21" s="71" t="s">
        <v>9</v>
      </c>
      <c r="C21" s="76">
        <f>mycut!D21</f>
        <v>175</v>
      </c>
      <c r="D21" s="111">
        <f>C21-40</f>
        <v>135</v>
      </c>
      <c r="E21" s="73" t="s">
        <v>19</v>
      </c>
      <c r="F21" s="78" t="str">
        <f>mycut!G21</f>
        <v>braun</v>
      </c>
      <c r="I21" s="2" t="s">
        <v>3</v>
      </c>
      <c r="J21" s="2">
        <v>2</v>
      </c>
      <c r="K21" s="2" t="s">
        <v>270</v>
      </c>
    </row>
    <row r="22" spans="2:13">
      <c r="B22" s="71" t="s">
        <v>10</v>
      </c>
      <c r="C22" s="72">
        <f>mycut!D23</f>
        <v>20</v>
      </c>
      <c r="D22" s="111">
        <f>C22-(2*G20)</f>
        <v>12</v>
      </c>
      <c r="E22" s="73" t="s">
        <v>75</v>
      </c>
      <c r="F22" s="78">
        <f>mycut!G23</f>
        <v>0</v>
      </c>
      <c r="I22" s="2" t="s">
        <v>4</v>
      </c>
      <c r="J22" s="2">
        <v>3</v>
      </c>
      <c r="M22" s="2" t="s">
        <v>103</v>
      </c>
    </row>
    <row r="23" spans="2:13">
      <c r="B23" s="71" t="s">
        <v>20</v>
      </c>
      <c r="C23" s="76">
        <f>mycut!D25</f>
        <v>5</v>
      </c>
      <c r="D23" s="85"/>
      <c r="E23" s="73" t="s">
        <v>22</v>
      </c>
      <c r="F23" s="78">
        <f>mycut!G31</f>
        <v>0</v>
      </c>
      <c r="J23" s="2" t="s">
        <v>105</v>
      </c>
      <c r="K23" s="2" t="s">
        <v>87</v>
      </c>
      <c r="M23" s="2" t="s">
        <v>65</v>
      </c>
    </row>
    <row r="24" spans="2:13">
      <c r="B24" s="74" t="s">
        <v>23</v>
      </c>
      <c r="C24" s="77">
        <f>mycut!D27</f>
        <v>500</v>
      </c>
      <c r="D24" s="86"/>
      <c r="E24" s="75" t="s">
        <v>29</v>
      </c>
      <c r="F24" s="79" t="str">
        <f>mycut!D31</f>
        <v>Selbstklebend</v>
      </c>
      <c r="J24" s="2" t="s">
        <v>76</v>
      </c>
      <c r="K24" s="2" t="s">
        <v>271</v>
      </c>
      <c r="M24" s="2" t="s">
        <v>77</v>
      </c>
    </row>
    <row r="25" spans="2:13">
      <c r="B25" s="2" t="s">
        <v>21</v>
      </c>
      <c r="C25" s="127">
        <f>(C20*C21)*1.3/1000000</f>
        <v>5.6875000000000002E-2</v>
      </c>
      <c r="D25" s="87" t="s">
        <v>26</v>
      </c>
      <c r="E25" s="3" t="s">
        <v>3</v>
      </c>
      <c r="F25" s="3">
        <f>mycut!G25</f>
        <v>0</v>
      </c>
      <c r="G25" s="2">
        <f>IF('facts-alt'!F22='facts-alt'!K22,1,0)</f>
        <v>1</v>
      </c>
      <c r="H25" s="2">
        <f>IF(OR(F21=I22,F21=I20),1,0)</f>
        <v>1</v>
      </c>
      <c r="J25" s="2">
        <f>SUM(G25:I25)</f>
        <v>2</v>
      </c>
      <c r="K25" s="2" t="s">
        <v>87</v>
      </c>
      <c r="M25" s="2" t="s">
        <v>79</v>
      </c>
    </row>
    <row r="26" spans="2:13">
      <c r="B26" s="2" t="s">
        <v>30</v>
      </c>
      <c r="C26" s="127">
        <f>C25*C23</f>
        <v>0.28437499999999999</v>
      </c>
      <c r="K26" s="2" t="s">
        <v>84</v>
      </c>
      <c r="M26" s="2" t="s">
        <v>66</v>
      </c>
    </row>
    <row r="27" spans="2:13">
      <c r="B27" s="2" t="s">
        <v>107</v>
      </c>
      <c r="C27" s="146">
        <v>26</v>
      </c>
      <c r="D27" s="88">
        <v>3600</v>
      </c>
      <c r="F27" s="2" t="s">
        <v>78</v>
      </c>
      <c r="K27" s="2" t="s">
        <v>102</v>
      </c>
    </row>
    <row r="28" spans="2:13">
      <c r="B28" s="2" t="s">
        <v>106</v>
      </c>
      <c r="C28" s="145">
        <f>C27/C26</f>
        <v>91.428571428571431</v>
      </c>
    </row>
    <row r="29" spans="2:13">
      <c r="B29" s="2" t="s">
        <v>108</v>
      </c>
      <c r="C29" s="145">
        <f>3600/C28</f>
        <v>39.375</v>
      </c>
    </row>
    <row r="30" spans="2:13">
      <c r="C30" s="145"/>
    </row>
    <row r="31" spans="2:13" s="1" customFormat="1">
      <c r="B31" s="35" t="s">
        <v>28</v>
      </c>
      <c r="C31" s="36" t="s">
        <v>15</v>
      </c>
      <c r="D31" s="36"/>
      <c r="E31" s="36" t="s">
        <v>2</v>
      </c>
      <c r="F31" s="36"/>
      <c r="G31" s="36" t="s">
        <v>3</v>
      </c>
      <c r="H31" s="36"/>
      <c r="I31" s="36" t="s">
        <v>4</v>
      </c>
      <c r="J31" s="36"/>
      <c r="K31" s="37">
        <f>SUM(K32:K35)</f>
        <v>0.51187499999999997</v>
      </c>
    </row>
    <row r="32" spans="2:13">
      <c r="B32" s="22" t="s">
        <v>62</v>
      </c>
      <c r="C32" s="38">
        <v>1.5</v>
      </c>
      <c r="D32" s="89">
        <f>IF(F$20=B32,C$26,0)</f>
        <v>0</v>
      </c>
      <c r="E32" s="38">
        <v>1</v>
      </c>
      <c r="F32" s="38">
        <f>IF(E31=F21,D32*E32,0)</f>
        <v>0</v>
      </c>
      <c r="G32" s="38">
        <v>1.2</v>
      </c>
      <c r="H32" s="38">
        <f>IF($F$21=G$31,$D32*G32,0)</f>
        <v>0</v>
      </c>
      <c r="I32" s="38">
        <v>2.4</v>
      </c>
      <c r="J32" s="38">
        <f>IF($F$21=I$31,$D32*I32,0)</f>
        <v>0</v>
      </c>
      <c r="K32" s="23">
        <f>SUM(F32,H32,J32)</f>
        <v>0</v>
      </c>
    </row>
    <row r="33" spans="2:11">
      <c r="B33" s="22" t="s">
        <v>110</v>
      </c>
      <c r="C33" s="38">
        <v>3</v>
      </c>
      <c r="D33" s="89">
        <f>IF(F$20=B33,C$26,0)</f>
        <v>0</v>
      </c>
      <c r="E33" s="38">
        <v>1.6</v>
      </c>
      <c r="F33" s="38">
        <f>IF($F$21=E$31,$D33*E33,0)</f>
        <v>0</v>
      </c>
      <c r="G33" s="38">
        <v>1.8</v>
      </c>
      <c r="H33" s="38">
        <f>IF($F$21=G$31,$D33*G33,0)</f>
        <v>0</v>
      </c>
      <c r="I33" s="38">
        <v>3.8</v>
      </c>
      <c r="J33" s="38">
        <f>IF($F$21=I$31,$D33*I33,0)</f>
        <v>0</v>
      </c>
      <c r="K33" s="23">
        <f>SUM(F33,H33,J33)</f>
        <v>0</v>
      </c>
    </row>
    <row r="34" spans="2:11">
      <c r="B34" s="22" t="s">
        <v>109</v>
      </c>
      <c r="C34" s="38">
        <v>4</v>
      </c>
      <c r="D34" s="89">
        <f>IF(F$20=B34,C$26,0)</f>
        <v>0.28437499999999999</v>
      </c>
      <c r="E34" s="38">
        <v>1.8</v>
      </c>
      <c r="F34" s="38">
        <f>IF($F$21=E$31,$D34*E34,0)</f>
        <v>0.51187499999999997</v>
      </c>
      <c r="G34" s="38">
        <v>2</v>
      </c>
      <c r="H34" s="38">
        <f>IF($F$21=G$31,$D34*G34,0)</f>
        <v>0</v>
      </c>
      <c r="I34" s="144">
        <v>1000000</v>
      </c>
      <c r="J34" s="38">
        <f>IF($F$21=I$31,$D34*I34,0)</f>
        <v>0</v>
      </c>
      <c r="K34" s="23">
        <f t="shared" ref="K34:K35" si="0">SUM(F34,H34,J34)</f>
        <v>0.51187499999999997</v>
      </c>
    </row>
    <row r="35" spans="2:11">
      <c r="B35" s="22" t="s">
        <v>111</v>
      </c>
      <c r="C35" s="38">
        <v>6.3</v>
      </c>
      <c r="D35" s="89">
        <f>IF(F$20=B35,C$26,0)</f>
        <v>0</v>
      </c>
      <c r="E35" s="38">
        <v>2.4</v>
      </c>
      <c r="F35" s="38">
        <f>IF($F$21=E$31,$D35*E35,0)</f>
        <v>0</v>
      </c>
      <c r="G35" s="144">
        <v>1000000</v>
      </c>
      <c r="H35" s="38">
        <f>IF($F$21=G$31,$D35*G35,0)</f>
        <v>0</v>
      </c>
      <c r="I35" s="144">
        <v>1000000</v>
      </c>
      <c r="J35" s="38">
        <f>IF($F$21=I$31,$D35*I35,0)</f>
        <v>0</v>
      </c>
      <c r="K35" s="23">
        <f t="shared" si="0"/>
        <v>0</v>
      </c>
    </row>
    <row r="36" spans="2:11">
      <c r="K36" s="407">
        <v>0</v>
      </c>
    </row>
    <row r="37" spans="2:11">
      <c r="B37" s="39" t="s">
        <v>31</v>
      </c>
      <c r="C37" s="27" t="s">
        <v>12</v>
      </c>
      <c r="D37" s="90">
        <f>SUM(D39:D49)</f>
        <v>1.0687499999999999</v>
      </c>
      <c r="E37" s="24" t="s">
        <v>13</v>
      </c>
      <c r="F37" s="25">
        <f>SUM(F39:F49)</f>
        <v>1.3531249999999999</v>
      </c>
      <c r="G37" s="24" t="s">
        <v>14</v>
      </c>
      <c r="H37" s="25">
        <f>SUM(H39:H49)</f>
        <v>1.8374999999999999</v>
      </c>
      <c r="K37" s="407">
        <v>1</v>
      </c>
    </row>
    <row r="38" spans="2:11">
      <c r="B38" s="29"/>
      <c r="C38" s="450"/>
      <c r="D38" s="450"/>
      <c r="E38" s="448"/>
      <c r="F38" s="449"/>
      <c r="G38" s="448"/>
      <c r="H38" s="449"/>
      <c r="K38" s="407">
        <v>2</v>
      </c>
    </row>
    <row r="39" spans="2:11">
      <c r="B39" s="29" t="s">
        <v>0</v>
      </c>
      <c r="C39" s="28">
        <v>150</v>
      </c>
      <c r="D39" s="91">
        <f>C39/$C$24</f>
        <v>0.3</v>
      </c>
      <c r="E39" s="11">
        <v>150</v>
      </c>
      <c r="F39" s="12">
        <f>E39/$C$24</f>
        <v>0.3</v>
      </c>
      <c r="G39" s="11">
        <v>150</v>
      </c>
      <c r="H39" s="12">
        <f>G39/$C$24</f>
        <v>0.3</v>
      </c>
      <c r="K39" s="407">
        <v>3</v>
      </c>
    </row>
    <row r="40" spans="2:11">
      <c r="B40" s="29" t="s">
        <v>1</v>
      </c>
      <c r="C40" s="28">
        <v>2</v>
      </c>
      <c r="D40" s="91">
        <f>$C$26*C40</f>
        <v>0.56874999999999998</v>
      </c>
      <c r="E40" s="11">
        <v>3</v>
      </c>
      <c r="F40" s="12">
        <f>$C$26*E40</f>
        <v>0.85312499999999991</v>
      </c>
      <c r="G40" s="11">
        <v>4</v>
      </c>
      <c r="H40" s="12">
        <f>$C$26*G40</f>
        <v>1.1375</v>
      </c>
      <c r="K40" s="407">
        <v>4</v>
      </c>
    </row>
    <row r="41" spans="2:11">
      <c r="B41" s="29" t="s">
        <v>25</v>
      </c>
      <c r="C41" s="28">
        <v>0</v>
      </c>
      <c r="D41" s="91">
        <f>C41/$C$24</f>
        <v>0</v>
      </c>
      <c r="E41" s="11">
        <v>0</v>
      </c>
      <c r="F41" s="12">
        <f>E41/$C$24</f>
        <v>0</v>
      </c>
      <c r="G41" s="11">
        <v>0</v>
      </c>
      <c r="H41" s="12">
        <f>G41/$C$24</f>
        <v>0</v>
      </c>
      <c r="K41" s="407">
        <v>5</v>
      </c>
    </row>
    <row r="42" spans="2:11">
      <c r="B42" s="29" t="s">
        <v>24</v>
      </c>
      <c r="C42" s="26">
        <v>0.05</v>
      </c>
      <c r="D42" s="92">
        <f>C42*($C$23-1)</f>
        <v>0.2</v>
      </c>
      <c r="E42" s="13">
        <v>0.05</v>
      </c>
      <c r="F42" s="92">
        <f>E42*($C$23-1)</f>
        <v>0.2</v>
      </c>
      <c r="G42" s="13">
        <v>0.1</v>
      </c>
      <c r="H42" s="128">
        <f>G42*($C$23-1)</f>
        <v>0.4</v>
      </c>
      <c r="K42" s="407">
        <v>6</v>
      </c>
    </row>
    <row r="43" spans="2:11">
      <c r="B43" s="29"/>
      <c r="C43" s="26"/>
      <c r="D43" s="92"/>
      <c r="E43" s="13"/>
      <c r="F43" s="92"/>
      <c r="G43" s="13"/>
      <c r="H43" s="128"/>
      <c r="K43" s="407">
        <v>7</v>
      </c>
    </row>
    <row r="44" spans="2:11">
      <c r="B44" s="29" t="s">
        <v>103</v>
      </c>
      <c r="C44" s="26"/>
      <c r="D44" s="92">
        <v>0</v>
      </c>
      <c r="E44" s="13"/>
      <c r="F44" s="92">
        <v>0</v>
      </c>
      <c r="G44" s="13"/>
      <c r="H44" s="128">
        <v>0</v>
      </c>
      <c r="K44" s="407">
        <v>8</v>
      </c>
    </row>
    <row r="45" spans="2:11">
      <c r="B45" s="29" t="s">
        <v>65</v>
      </c>
      <c r="C45" s="26"/>
      <c r="D45" s="92">
        <f>IF($F$24=$B45,0.06,0)</f>
        <v>0</v>
      </c>
      <c r="E45" s="13"/>
      <c r="F45" s="92">
        <f>IF($F$24=$B45,0.06,0)</f>
        <v>0</v>
      </c>
      <c r="G45" s="13"/>
      <c r="H45" s="92">
        <f>IF($F$24=$B45,0.06,0)</f>
        <v>0</v>
      </c>
      <c r="K45" s="407">
        <v>9</v>
      </c>
    </row>
    <row r="46" spans="2:11">
      <c r="B46" s="29" t="s">
        <v>66</v>
      </c>
      <c r="C46" s="26">
        <v>5.0000000000000001E-3</v>
      </c>
      <c r="D46" s="92">
        <f>IF($F$24=$B46,$C$46*$C$20,0)</f>
        <v>0</v>
      </c>
      <c r="E46" s="26"/>
      <c r="F46" s="92">
        <f>IF($F$24=$B46,$C$46*$C$20,0)</f>
        <v>0</v>
      </c>
      <c r="G46" s="26"/>
      <c r="H46" s="92">
        <f>IF($F$24=$B46,$C$46*$C$20,0)</f>
        <v>0</v>
      </c>
      <c r="K46" s="407">
        <v>10</v>
      </c>
    </row>
    <row r="47" spans="2:11">
      <c r="B47" s="29" t="s">
        <v>77</v>
      </c>
      <c r="C47" s="26">
        <f>ROUNDUP(C20/250, 0)</f>
        <v>1</v>
      </c>
      <c r="D47" s="92">
        <f>IF($B$47=$F$24,$C$47*$I$47,0)</f>
        <v>0</v>
      </c>
      <c r="E47" s="13"/>
      <c r="F47" s="92">
        <f>IF($B$47=$F$24,$C$47*$I$47,0)</f>
        <v>0</v>
      </c>
      <c r="G47" s="13"/>
      <c r="H47" s="92">
        <f>IF($B$47=$F$24,$C$47*$I$47,0)</f>
        <v>0</v>
      </c>
      <c r="I47" s="2">
        <v>0.65</v>
      </c>
      <c r="K47" s="407">
        <v>11</v>
      </c>
    </row>
    <row r="48" spans="2:11">
      <c r="B48" s="29" t="s">
        <v>79</v>
      </c>
      <c r="C48" s="26">
        <v>100</v>
      </c>
      <c r="D48" s="92">
        <f>IF($B$48=$F$24,($C$48/$C$24)+($C$20*$I$48)+$J$48,0)</f>
        <v>0</v>
      </c>
      <c r="E48" s="13"/>
      <c r="F48" s="92">
        <f>IF($B$48=$F$24,($C$48/$C$24)+($C$20*$I$48)+$J$48,0)</f>
        <v>0</v>
      </c>
      <c r="G48" s="13"/>
      <c r="H48" s="92">
        <f>IF($B$48=$F$24,($C$48/$C$24)+($C$20*$I$48)+$J$48,0)</f>
        <v>0</v>
      </c>
      <c r="I48" s="2">
        <v>5.0000000000000001E-4</v>
      </c>
      <c r="J48" s="2">
        <v>0.5</v>
      </c>
      <c r="K48" s="407">
        <v>12</v>
      </c>
    </row>
    <row r="49" spans="2:11">
      <c r="B49" s="30" t="s">
        <v>104</v>
      </c>
      <c r="C49" s="31">
        <f>I49/C24</f>
        <v>1</v>
      </c>
      <c r="D49" s="93">
        <f>IF(mycut!D29="nein",0,$C49)</f>
        <v>0</v>
      </c>
      <c r="E49" s="21"/>
      <c r="F49" s="93">
        <f>IF(mycut!D29="nein",0,$C49)</f>
        <v>0</v>
      </c>
      <c r="G49" s="21"/>
      <c r="H49" s="93">
        <f>IF(mycut!D29="nein",0,$C49)</f>
        <v>0</v>
      </c>
      <c r="I49" s="2">
        <v>500</v>
      </c>
      <c r="K49" s="407">
        <v>13</v>
      </c>
    </row>
    <row r="50" spans="2:11">
      <c r="C50" s="10"/>
      <c r="D50" s="94"/>
      <c r="E50" s="10"/>
      <c r="F50" s="10"/>
      <c r="G50" s="10"/>
      <c r="H50" s="10"/>
      <c r="K50" s="407">
        <v>14</v>
      </c>
    </row>
    <row r="51" spans="2:11">
      <c r="C51" s="10"/>
      <c r="D51" s="94"/>
      <c r="E51" s="10"/>
      <c r="F51" s="10"/>
      <c r="G51" s="10"/>
      <c r="H51" s="10"/>
      <c r="K51" s="407">
        <v>15</v>
      </c>
    </row>
    <row r="52" spans="2:11">
      <c r="B52" s="45" t="s">
        <v>37</v>
      </c>
      <c r="C52" s="46"/>
      <c r="D52" s="95">
        <f>C25*G52</f>
        <v>0</v>
      </c>
      <c r="E52" s="15">
        <f>SUM(E53:E56)</f>
        <v>0</v>
      </c>
      <c r="F52" s="47">
        <f>SUM(E52,E63)</f>
        <v>0</v>
      </c>
      <c r="G52" s="126">
        <f>mycut!G29</f>
        <v>0</v>
      </c>
      <c r="H52" s="10" t="s">
        <v>99</v>
      </c>
      <c r="K52" s="407">
        <v>16</v>
      </c>
    </row>
    <row r="53" spans="2:11">
      <c r="B53" s="16" t="s">
        <v>83</v>
      </c>
      <c r="C53" s="17">
        <v>0</v>
      </c>
      <c r="D53" s="96">
        <f>C53/$C$24</f>
        <v>0</v>
      </c>
      <c r="E53" s="19">
        <f>IF($F$22=B53,D53,0)</f>
        <v>0</v>
      </c>
      <c r="F53" s="18"/>
      <c r="G53" s="10"/>
      <c r="H53" s="10"/>
      <c r="K53" s="407">
        <v>17</v>
      </c>
    </row>
    <row r="54" spans="2:11">
      <c r="B54" s="16" t="s">
        <v>85</v>
      </c>
      <c r="C54" s="32">
        <v>100</v>
      </c>
      <c r="D54" s="96">
        <f t="shared" ref="D54:D56" si="1">C54/$C$24</f>
        <v>0.2</v>
      </c>
      <c r="E54" s="19">
        <f>IF($F$25=B54,D54,0)</f>
        <v>0</v>
      </c>
      <c r="F54" s="18"/>
      <c r="G54" s="10"/>
      <c r="H54" s="10"/>
      <c r="K54" s="407">
        <v>18</v>
      </c>
    </row>
    <row r="55" spans="2:11">
      <c r="B55" s="16" t="s">
        <v>91</v>
      </c>
      <c r="C55" s="32">
        <v>100</v>
      </c>
      <c r="D55" s="96">
        <f t="shared" si="1"/>
        <v>0.2</v>
      </c>
      <c r="E55" s="19">
        <f t="shared" ref="E55:E56" si="2">IF($F$22=B55,D55,0)</f>
        <v>0</v>
      </c>
      <c r="F55" s="18"/>
      <c r="G55" s="10"/>
      <c r="H55" s="10"/>
      <c r="K55" s="407">
        <v>19</v>
      </c>
    </row>
    <row r="56" spans="2:11">
      <c r="B56" s="16" t="s">
        <v>86</v>
      </c>
      <c r="C56" s="33">
        <v>150</v>
      </c>
      <c r="D56" s="96">
        <f t="shared" si="1"/>
        <v>0.3</v>
      </c>
      <c r="E56" s="20">
        <f t="shared" si="2"/>
        <v>0</v>
      </c>
      <c r="F56" s="18"/>
      <c r="G56" s="10"/>
      <c r="H56" s="10"/>
      <c r="K56" s="407">
        <v>20</v>
      </c>
    </row>
    <row r="57" spans="2:11">
      <c r="B57" s="45" t="s">
        <v>38</v>
      </c>
      <c r="C57" s="48"/>
      <c r="D57" s="95"/>
      <c r="E57" s="15">
        <f>SUM(E58:E62)</f>
        <v>0</v>
      </c>
      <c r="F57" s="18"/>
      <c r="G57" s="10"/>
      <c r="H57" s="10"/>
      <c r="K57" s="407">
        <v>21</v>
      </c>
    </row>
    <row r="58" spans="2:11">
      <c r="B58" s="16" t="s">
        <v>84</v>
      </c>
      <c r="C58" s="32">
        <f>mycut!G27</f>
        <v>0</v>
      </c>
      <c r="D58" s="96"/>
      <c r="E58" s="19">
        <f>IF(C58=B58,J88,0)</f>
        <v>0</v>
      </c>
      <c r="F58" s="18"/>
      <c r="G58" s="10"/>
      <c r="H58" s="10"/>
      <c r="K58" s="407">
        <v>22</v>
      </c>
    </row>
    <row r="59" spans="2:11">
      <c r="B59" s="16" t="s">
        <v>102</v>
      </c>
      <c r="C59" s="32">
        <f>mycut!G27</f>
        <v>0</v>
      </c>
      <c r="D59" s="96"/>
      <c r="E59" s="19">
        <f>IF(C59=B59,K88,0)</f>
        <v>0</v>
      </c>
      <c r="F59" s="18"/>
      <c r="G59" s="10"/>
      <c r="H59" s="10"/>
      <c r="K59" s="407">
        <v>23</v>
      </c>
    </row>
    <row r="60" spans="2:11">
      <c r="B60" s="16" t="s">
        <v>91</v>
      </c>
      <c r="C60" s="81">
        <v>5</v>
      </c>
      <c r="D60" s="96">
        <f>C60*$D$52</f>
        <v>0</v>
      </c>
      <c r="E60" s="19">
        <f>IF($F$22=B60,D60,0)</f>
        <v>0</v>
      </c>
      <c r="F60" s="18"/>
      <c r="G60" s="10"/>
      <c r="H60" s="10"/>
      <c r="K60" s="407">
        <v>24</v>
      </c>
    </row>
    <row r="61" spans="2:11">
      <c r="B61" s="16" t="s">
        <v>86</v>
      </c>
      <c r="C61" s="81">
        <v>7</v>
      </c>
      <c r="D61" s="96">
        <f>C61*$D$52</f>
        <v>0</v>
      </c>
      <c r="E61" s="19">
        <f>IF($F$22=B61,D61,0)</f>
        <v>0</v>
      </c>
      <c r="F61" s="18"/>
      <c r="G61" s="10"/>
      <c r="H61" s="10"/>
      <c r="K61" s="407">
        <v>25</v>
      </c>
    </row>
    <row r="62" spans="2:11">
      <c r="B62" s="16" t="s">
        <v>85</v>
      </c>
      <c r="C62" s="82">
        <v>7</v>
      </c>
      <c r="D62" s="98">
        <f>C61*$D$52</f>
        <v>0</v>
      </c>
      <c r="E62" s="19">
        <f>IF($F$25=B62,D62,0)</f>
        <v>0</v>
      </c>
      <c r="F62" s="18"/>
      <c r="G62" s="10"/>
      <c r="H62" s="10"/>
      <c r="K62" s="407">
        <v>26</v>
      </c>
    </row>
    <row r="63" spans="2:11">
      <c r="B63" s="14" t="s">
        <v>27</v>
      </c>
      <c r="C63" s="34"/>
      <c r="D63" s="97"/>
      <c r="E63" s="15">
        <f>SUM(E64:E65)</f>
        <v>0</v>
      </c>
      <c r="F63" s="18"/>
      <c r="G63" s="10" t="s">
        <v>83</v>
      </c>
      <c r="H63" s="10"/>
      <c r="K63" s="407">
        <v>27</v>
      </c>
    </row>
    <row r="64" spans="2:11">
      <c r="B64" s="16" t="s">
        <v>63</v>
      </c>
      <c r="C64" s="17"/>
      <c r="D64" s="96"/>
      <c r="E64" s="19">
        <f>IF($F$23=B64,E57,0)</f>
        <v>0</v>
      </c>
      <c r="F64" s="18"/>
      <c r="G64" s="10" t="s">
        <v>63</v>
      </c>
      <c r="H64" s="10"/>
      <c r="K64" s="407">
        <v>28</v>
      </c>
    </row>
    <row r="65" spans="2:11">
      <c r="B65" s="16" t="s">
        <v>64</v>
      </c>
      <c r="C65" s="17"/>
      <c r="D65" s="96"/>
      <c r="E65" s="19">
        <f>IF($F$23=B65,E57*2,0)</f>
        <v>0</v>
      </c>
      <c r="F65" s="18"/>
      <c r="G65" s="10" t="s">
        <v>64</v>
      </c>
      <c r="H65" s="10"/>
      <c r="K65" s="407">
        <v>29</v>
      </c>
    </row>
    <row r="66" spans="2:11">
      <c r="C66" s="10"/>
      <c r="D66" s="94"/>
      <c r="E66" s="10"/>
      <c r="F66" s="10"/>
      <c r="G66" s="10"/>
      <c r="H66" s="10"/>
      <c r="K66" s="407">
        <v>30</v>
      </c>
    </row>
    <row r="67" spans="2:11">
      <c r="B67" s="50" t="s">
        <v>47</v>
      </c>
      <c r="C67" s="42"/>
      <c r="D67" s="99"/>
      <c r="E67" s="55" t="s">
        <v>36</v>
      </c>
      <c r="F67" s="55" t="s">
        <v>34</v>
      </c>
      <c r="G67" s="56" t="s">
        <v>35</v>
      </c>
      <c r="K67" s="407">
        <v>31</v>
      </c>
    </row>
    <row r="68" spans="2:11">
      <c r="B68" s="51" t="s">
        <v>33</v>
      </c>
      <c r="C68" s="41"/>
      <c r="D68" s="100"/>
      <c r="E68" s="43">
        <f>SUM(K31,D37,F52)</f>
        <v>1.5806249999999999</v>
      </c>
      <c r="F68" s="43">
        <f>SUM(K31,F37,F52)</f>
        <v>1.8649999999999998</v>
      </c>
      <c r="G68" s="43">
        <f>SUM(K31,H37,F52)</f>
        <v>2.3493749999999998</v>
      </c>
      <c r="K68" s="407">
        <v>32</v>
      </c>
    </row>
    <row r="69" spans="2:11">
      <c r="B69" s="52" t="s">
        <v>32</v>
      </c>
      <c r="C69" s="53"/>
      <c r="D69" s="101"/>
      <c r="E69" s="54">
        <f>$C$24*E68</f>
        <v>790.3125</v>
      </c>
      <c r="F69" s="54">
        <f t="shared" ref="F69:G69" si="3">$C$24*F68</f>
        <v>932.49999999999989</v>
      </c>
      <c r="G69" s="54">
        <f t="shared" si="3"/>
        <v>1174.6874999999998</v>
      </c>
      <c r="K69" s="407">
        <v>33</v>
      </c>
    </row>
    <row r="70" spans="2:11">
      <c r="E70" s="40"/>
      <c r="F70" s="40"/>
      <c r="G70" s="57"/>
      <c r="K70" s="407">
        <v>34</v>
      </c>
    </row>
    <row r="71" spans="2:11">
      <c r="B71" s="2" t="s">
        <v>5</v>
      </c>
      <c r="C71" s="3">
        <v>300</v>
      </c>
      <c r="E71" s="40"/>
      <c r="F71" s="40"/>
      <c r="G71" s="57"/>
      <c r="K71" s="407">
        <v>35</v>
      </c>
    </row>
    <row r="72" spans="2:11">
      <c r="B72" s="59" t="s">
        <v>16</v>
      </c>
      <c r="C72" s="60"/>
      <c r="D72" s="58" t="s">
        <v>17</v>
      </c>
      <c r="E72" s="40"/>
      <c r="F72" s="40"/>
      <c r="G72" s="57"/>
      <c r="K72" s="407">
        <v>36</v>
      </c>
    </row>
    <row r="73" spans="2:11">
      <c r="B73" s="2" t="s">
        <v>6</v>
      </c>
      <c r="C73" s="3">
        <v>50</v>
      </c>
      <c r="D73" s="102">
        <v>0</v>
      </c>
      <c r="E73" s="40"/>
      <c r="F73" s="61"/>
      <c r="G73" s="57"/>
      <c r="K73" s="407">
        <v>37</v>
      </c>
    </row>
    <row r="74" spans="2:11">
      <c r="B74" s="2" t="s">
        <v>8</v>
      </c>
      <c r="C74" s="3">
        <v>25</v>
      </c>
      <c r="D74" s="102">
        <v>20000</v>
      </c>
      <c r="E74" s="40"/>
      <c r="F74" s="61"/>
      <c r="G74" s="57"/>
      <c r="K74" s="407">
        <v>38</v>
      </c>
    </row>
    <row r="75" spans="2:11">
      <c r="D75" s="58" t="s">
        <v>7</v>
      </c>
      <c r="E75" s="40"/>
      <c r="F75" s="61"/>
      <c r="G75" s="57"/>
      <c r="K75" s="407">
        <v>39</v>
      </c>
    </row>
    <row r="76" spans="2:11">
      <c r="B76" s="2" t="s">
        <v>39</v>
      </c>
      <c r="C76" s="3">
        <f>D74-D73</f>
        <v>20000</v>
      </c>
      <c r="E76" s="40"/>
      <c r="F76" s="40"/>
      <c r="G76" s="57"/>
      <c r="K76" s="407">
        <v>40</v>
      </c>
    </row>
    <row r="77" spans="2:11">
      <c r="B77" s="2" t="s">
        <v>40</v>
      </c>
      <c r="C77" s="3">
        <f>C73-C74</f>
        <v>25</v>
      </c>
      <c r="E77" s="40"/>
      <c r="F77" s="40"/>
      <c r="G77" s="57"/>
      <c r="K77" s="407">
        <v>41</v>
      </c>
    </row>
    <row r="78" spans="2:11">
      <c r="B78" s="2" t="s">
        <v>41</v>
      </c>
      <c r="C78" s="49">
        <f>C77/C76</f>
        <v>1.25E-3</v>
      </c>
      <c r="E78" s="40"/>
      <c r="F78" s="40"/>
      <c r="G78" s="57"/>
      <c r="K78" s="407">
        <v>42</v>
      </c>
    </row>
    <row r="79" spans="2:11">
      <c r="B79" s="2" t="s">
        <v>42</v>
      </c>
      <c r="E79" s="40">
        <f>E69</f>
        <v>790.3125</v>
      </c>
      <c r="F79" s="40">
        <f>F69</f>
        <v>932.49999999999989</v>
      </c>
      <c r="G79" s="40">
        <f>G69</f>
        <v>1174.6874999999998</v>
      </c>
      <c r="K79" s="407">
        <v>43</v>
      </c>
    </row>
    <row r="80" spans="2:11">
      <c r="B80" s="2" t="s">
        <v>43</v>
      </c>
      <c r="E80" s="40">
        <f>$C$73-(E79*$C$78)</f>
        <v>49.012109375000001</v>
      </c>
      <c r="F80" s="40">
        <f>$C$73-(F79*$C$78)</f>
        <v>48.834375000000001</v>
      </c>
      <c r="G80" s="40">
        <f>$C$73-(G79*$C$78)</f>
        <v>48.531640625000001</v>
      </c>
      <c r="K80" s="407">
        <v>44</v>
      </c>
    </row>
    <row r="81" spans="2:11">
      <c r="B81" s="2" t="s">
        <v>49</v>
      </c>
      <c r="C81" s="3">
        <f>C76</f>
        <v>20000</v>
      </c>
      <c r="E81" s="40">
        <f>C74</f>
        <v>25</v>
      </c>
      <c r="F81" s="40">
        <f>C74</f>
        <v>25</v>
      </c>
      <c r="G81" s="40">
        <f>C74</f>
        <v>25</v>
      </c>
      <c r="K81" s="407">
        <v>45</v>
      </c>
    </row>
    <row r="82" spans="2:11">
      <c r="B82" s="2" t="s">
        <v>50</v>
      </c>
      <c r="E82" s="40">
        <f>IF(E79&lt;20000,E80,E81)</f>
        <v>49.012109375000001</v>
      </c>
      <c r="F82" s="40">
        <f t="shared" ref="F82:G82" si="4">IF(F79&lt;20000,F80,F81)</f>
        <v>48.834375000000001</v>
      </c>
      <c r="G82" s="40">
        <f t="shared" si="4"/>
        <v>48.531640625000001</v>
      </c>
      <c r="K82" s="407">
        <v>46</v>
      </c>
    </row>
    <row r="83" spans="2:11">
      <c r="B83" s="2" t="s">
        <v>44</v>
      </c>
      <c r="E83" s="40">
        <f>E79*((100+E82)/100)</f>
        <v>1177.6613269042969</v>
      </c>
      <c r="F83" s="40">
        <f t="shared" ref="F83:G83" si="5">F79*((100+F82)/100)</f>
        <v>1387.8805468749997</v>
      </c>
      <c r="G83" s="40">
        <f t="shared" si="5"/>
        <v>1744.7826159667966</v>
      </c>
      <c r="K83" s="407">
        <v>47</v>
      </c>
    </row>
    <row r="84" spans="2:11">
      <c r="B84" s="2" t="s">
        <v>45</v>
      </c>
      <c r="E84" s="40">
        <f>E83+$C$71</f>
        <v>1477.6613269042969</v>
      </c>
      <c r="F84" s="40">
        <f t="shared" ref="F84:G84" si="6">F83+$C$71</f>
        <v>1687.8805468749997</v>
      </c>
      <c r="G84" s="40">
        <f t="shared" si="6"/>
        <v>2044.7826159667966</v>
      </c>
      <c r="K84" s="407">
        <v>48</v>
      </c>
    </row>
    <row r="85" spans="2:11">
      <c r="B85" s="2" t="s">
        <v>48</v>
      </c>
      <c r="E85" s="40">
        <f>E84-E69</f>
        <v>687.34882690429686</v>
      </c>
      <c r="F85" s="40">
        <f>F84-F69</f>
        <v>755.38054687499982</v>
      </c>
      <c r="G85" s="40">
        <f>G84-G69</f>
        <v>870.09511596679681</v>
      </c>
      <c r="K85" s="407">
        <v>49</v>
      </c>
    </row>
    <row r="86" spans="2:11" s="9" customFormat="1">
      <c r="B86" s="62" t="s">
        <v>46</v>
      </c>
      <c r="C86" s="63"/>
      <c r="D86" s="103"/>
      <c r="E86" s="44">
        <f>E84/$C$24</f>
        <v>2.9553226538085937</v>
      </c>
      <c r="F86" s="44">
        <f t="shared" ref="F86:G86" si="7">F84/$C$24</f>
        <v>3.3757610937499996</v>
      </c>
      <c r="G86" s="44">
        <f t="shared" si="7"/>
        <v>4.0895652319335936</v>
      </c>
      <c r="K86" s="407">
        <v>50</v>
      </c>
    </row>
    <row r="87" spans="2:11">
      <c r="J87" s="147">
        <f>G52</f>
        <v>0</v>
      </c>
      <c r="K87" s="147">
        <f>G52</f>
        <v>0</v>
      </c>
    </row>
    <row r="88" spans="2:11">
      <c r="B88" s="131"/>
      <c r="C88" s="132"/>
      <c r="D88" s="133"/>
      <c r="E88" s="132"/>
      <c r="F88" s="134" t="s">
        <v>80</v>
      </c>
      <c r="G88" s="135"/>
      <c r="H88" s="135"/>
      <c r="I88" s="135"/>
      <c r="J88" s="134">
        <f>(SUM(J90:J96))*J87</f>
        <v>0</v>
      </c>
      <c r="K88" s="134">
        <f>(SUM(K90:K96))*K87</f>
        <v>0</v>
      </c>
    </row>
    <row r="89" spans="2:11">
      <c r="B89" s="138">
        <f>C$24</f>
        <v>500</v>
      </c>
      <c r="C89" s="136"/>
      <c r="D89" s="137"/>
      <c r="E89" s="137" t="s">
        <v>100</v>
      </c>
      <c r="F89" s="137" t="s">
        <v>101</v>
      </c>
      <c r="G89" s="137"/>
      <c r="H89" s="137"/>
      <c r="I89" s="137"/>
      <c r="J89" s="137" t="s">
        <v>100</v>
      </c>
      <c r="K89" s="137" t="s">
        <v>101</v>
      </c>
    </row>
    <row r="90" spans="2:11">
      <c r="B90" s="138">
        <f>B89</f>
        <v>500</v>
      </c>
      <c r="C90" s="126">
        <v>2</v>
      </c>
      <c r="D90" s="139">
        <v>250</v>
      </c>
      <c r="E90" s="136">
        <v>2.2400000000000002</v>
      </c>
      <c r="F90" s="136">
        <v>4.12</v>
      </c>
      <c r="G90" s="2">
        <f>IF(B90&gt;C90,1,0)</f>
        <v>1</v>
      </c>
      <c r="H90" s="2">
        <f>IF(B91&lt;=D90,1,0)</f>
        <v>0</v>
      </c>
      <c r="I90" s="2">
        <f>G90+H90</f>
        <v>1</v>
      </c>
      <c r="J90" s="2">
        <f>IF(I90=2,E90,0)</f>
        <v>0</v>
      </c>
      <c r="K90" s="140">
        <f>IF(I90=2,F90,0)</f>
        <v>0</v>
      </c>
    </row>
    <row r="91" spans="2:11">
      <c r="B91" s="138">
        <f>B90</f>
        <v>500</v>
      </c>
      <c r="C91" s="126">
        <v>251</v>
      </c>
      <c r="D91" s="139">
        <v>500</v>
      </c>
      <c r="E91" s="136">
        <v>1.52</v>
      </c>
      <c r="F91" s="136">
        <v>2.6</v>
      </c>
      <c r="G91" s="2">
        <f t="shared" ref="G91:G96" si="8">IF(B91&gt;C91,1,0)</f>
        <v>1</v>
      </c>
      <c r="H91" s="2">
        <f t="shared" ref="H91:H96" si="9">IF(B92&lt;=D91,1,0)</f>
        <v>1</v>
      </c>
      <c r="I91" s="2">
        <f t="shared" ref="I91:I96" si="10">G91+H91</f>
        <v>2</v>
      </c>
      <c r="J91" s="2">
        <f>IF(I91=2,E91,0)</f>
        <v>1.52</v>
      </c>
      <c r="K91" s="140">
        <f t="shared" ref="K91:K96" si="11">IF(I91=2,F91,0)</f>
        <v>2.6</v>
      </c>
    </row>
    <row r="92" spans="2:11">
      <c r="B92" s="138">
        <f t="shared" ref="B92:B96" si="12">B91</f>
        <v>500</v>
      </c>
      <c r="C92" s="126">
        <v>501</v>
      </c>
      <c r="D92" s="139">
        <v>750</v>
      </c>
      <c r="E92" s="136">
        <v>1.1399999999999999</v>
      </c>
      <c r="F92" s="136">
        <v>1.81</v>
      </c>
      <c r="G92" s="2">
        <f t="shared" si="8"/>
        <v>0</v>
      </c>
      <c r="H92" s="2">
        <f t="shared" si="9"/>
        <v>1</v>
      </c>
      <c r="I92" s="2">
        <f t="shared" si="10"/>
        <v>1</v>
      </c>
      <c r="J92" s="2">
        <f t="shared" ref="J92:J96" si="13">IF(I92=2,E92,0)</f>
        <v>0</v>
      </c>
      <c r="K92" s="140">
        <f t="shared" si="11"/>
        <v>0</v>
      </c>
    </row>
    <row r="93" spans="2:11">
      <c r="B93" s="138">
        <f t="shared" si="12"/>
        <v>500</v>
      </c>
      <c r="C93" s="126">
        <v>751</v>
      </c>
      <c r="D93" s="139">
        <v>1000</v>
      </c>
      <c r="E93" s="136">
        <v>0.98</v>
      </c>
      <c r="F93" s="136">
        <v>1.52</v>
      </c>
      <c r="G93" s="2">
        <f t="shared" si="8"/>
        <v>0</v>
      </c>
      <c r="H93" s="2">
        <f t="shared" si="9"/>
        <v>1</v>
      </c>
      <c r="I93" s="2">
        <f t="shared" si="10"/>
        <v>1</v>
      </c>
      <c r="J93" s="2">
        <f t="shared" si="13"/>
        <v>0</v>
      </c>
      <c r="K93" s="140">
        <f t="shared" si="11"/>
        <v>0</v>
      </c>
    </row>
    <row r="94" spans="2:11">
      <c r="B94" s="138">
        <f t="shared" si="12"/>
        <v>500</v>
      </c>
      <c r="C94" s="126">
        <v>1001</v>
      </c>
      <c r="D94" s="139">
        <v>2500</v>
      </c>
      <c r="E94" s="136">
        <v>0.87</v>
      </c>
      <c r="F94" s="136">
        <v>1.33</v>
      </c>
      <c r="G94" s="2">
        <f t="shared" si="8"/>
        <v>0</v>
      </c>
      <c r="H94" s="2">
        <f t="shared" si="9"/>
        <v>1</v>
      </c>
      <c r="I94" s="2">
        <f t="shared" si="10"/>
        <v>1</v>
      </c>
      <c r="J94" s="2">
        <f t="shared" si="13"/>
        <v>0</v>
      </c>
      <c r="K94" s="140">
        <f t="shared" si="11"/>
        <v>0</v>
      </c>
    </row>
    <row r="95" spans="2:11">
      <c r="B95" s="138">
        <f t="shared" si="12"/>
        <v>500</v>
      </c>
      <c r="C95" s="126">
        <v>2501</v>
      </c>
      <c r="D95" s="139">
        <v>5000</v>
      </c>
      <c r="E95" s="136">
        <v>0.66</v>
      </c>
      <c r="F95" s="136">
        <v>1.01</v>
      </c>
      <c r="G95" s="2">
        <f t="shared" si="8"/>
        <v>0</v>
      </c>
      <c r="H95" s="2">
        <f t="shared" si="9"/>
        <v>1</v>
      </c>
      <c r="I95" s="2">
        <f t="shared" si="10"/>
        <v>1</v>
      </c>
      <c r="J95" s="2">
        <f t="shared" si="13"/>
        <v>0</v>
      </c>
      <c r="K95" s="140">
        <f t="shared" si="11"/>
        <v>0</v>
      </c>
    </row>
    <row r="96" spans="2:11">
      <c r="B96" s="138">
        <f t="shared" si="12"/>
        <v>500</v>
      </c>
      <c r="C96" s="141">
        <v>5001</v>
      </c>
      <c r="D96" s="142">
        <v>1000000</v>
      </c>
      <c r="E96" s="143">
        <v>0.62</v>
      </c>
      <c r="F96" s="143">
        <v>0.93</v>
      </c>
      <c r="G96" s="2">
        <f t="shared" si="8"/>
        <v>0</v>
      </c>
      <c r="H96" s="2">
        <f t="shared" si="9"/>
        <v>1</v>
      </c>
      <c r="I96" s="2">
        <f t="shared" si="10"/>
        <v>1</v>
      </c>
      <c r="J96" s="2">
        <f t="shared" si="13"/>
        <v>0</v>
      </c>
      <c r="K96" s="140">
        <f t="shared" si="11"/>
        <v>0</v>
      </c>
    </row>
  </sheetData>
  <sheetProtection selectLockedCells="1"/>
  <mergeCells count="17">
    <mergeCell ref="D16:E16"/>
    <mergeCell ref="G16:H16"/>
    <mergeCell ref="G38:H38"/>
    <mergeCell ref="E38:F38"/>
    <mergeCell ref="C38:D38"/>
    <mergeCell ref="D9:E9"/>
    <mergeCell ref="G9:H9"/>
    <mergeCell ref="D11:E11"/>
    <mergeCell ref="G11:H11"/>
    <mergeCell ref="D14:E14"/>
    <mergeCell ref="D15:E15"/>
    <mergeCell ref="D13:E13"/>
    <mergeCell ref="D17:E17"/>
    <mergeCell ref="G14:H14"/>
    <mergeCell ref="G15:H15"/>
    <mergeCell ref="G13:H13"/>
    <mergeCell ref="G17:H17"/>
  </mergeCells>
  <dataValidations disablePrompts="1" count="3">
    <dataValidation type="list" allowBlank="1" showInputMessage="1" showErrorMessage="1" sqref="F21" xr:uid="{00000000-0002-0000-0A00-000001000000}">
      <formula1>$I$20:$I$22</formula1>
    </dataValidation>
    <dataValidation type="list" allowBlank="1" showInputMessage="1" showErrorMessage="1" sqref="F22" xr:uid="{00000000-0002-0000-0A00-000002000000}">
      <formula1>$K$20:$K$22</formula1>
    </dataValidation>
    <dataValidation type="list" allowBlank="1" showInputMessage="1" showErrorMessage="1" sqref="F20" xr:uid="{00000000-0002-0000-0A00-000000000000}">
      <formula1>$B$32:$B$34</formula1>
    </dataValidation>
  </dataValidations>
  <pageMargins left="0" right="0" top="0" bottom="0" header="0" footer="0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49D76-8ED7-4626-B539-A253647C4D17}">
  <dimension ref="B5:BQ33"/>
  <sheetViews>
    <sheetView workbookViewId="0">
      <selection activeCell="S10" sqref="S10"/>
    </sheetView>
  </sheetViews>
  <sheetFormatPr baseColWidth="10" defaultRowHeight="11.25"/>
  <cols>
    <col min="1" max="1" width="1.42578125" style="358" customWidth="1"/>
    <col min="2" max="2" width="2.7109375" style="358" customWidth="1"/>
    <col min="3" max="3" width="8.28515625" style="358" customWidth="1"/>
    <col min="4" max="4" width="5" style="358" customWidth="1"/>
    <col min="5" max="5" width="6.5703125" style="363" customWidth="1"/>
    <col min="6" max="6" width="5" style="358" customWidth="1"/>
    <col min="7" max="7" width="7.85546875" style="358" customWidth="1"/>
    <col min="8" max="8" width="1.140625" style="358" customWidth="1"/>
    <col min="9" max="9" width="8.28515625" style="357" customWidth="1"/>
    <col min="10" max="10" width="5.42578125" style="358" customWidth="1"/>
    <col min="11" max="12" width="4.140625" style="358" customWidth="1"/>
    <col min="13" max="14" width="8.28515625" style="358" customWidth="1"/>
    <col min="15" max="15" width="1.42578125" style="358" customWidth="1"/>
    <col min="16" max="16" width="2.7109375" style="358" customWidth="1"/>
    <col min="17" max="17" width="8.28515625" style="358" customWidth="1"/>
    <col min="18" max="18" width="5" style="358" customWidth="1"/>
    <col min="19" max="19" width="6.5703125" style="363" customWidth="1"/>
    <col min="20" max="20" width="5" style="358" customWidth="1"/>
    <col min="21" max="21" width="7.85546875" style="358" customWidth="1"/>
    <col min="22" max="22" width="1.140625" style="358" customWidth="1"/>
    <col min="23" max="23" width="8.28515625" style="357" customWidth="1"/>
    <col min="24" max="24" width="5.42578125" style="358" customWidth="1"/>
    <col min="25" max="26" width="4.140625" style="358" customWidth="1"/>
    <col min="27" max="28" width="8.28515625" style="358" customWidth="1"/>
    <col min="29" max="29" width="1.42578125" style="358" customWidth="1"/>
    <col min="30" max="30" width="2.7109375" style="358" customWidth="1"/>
    <col min="31" max="31" width="8.28515625" style="358" customWidth="1"/>
    <col min="32" max="32" width="5" style="358" customWidth="1"/>
    <col min="33" max="33" width="6.5703125" style="363" customWidth="1"/>
    <col min="34" max="34" width="5" style="358" customWidth="1"/>
    <col min="35" max="35" width="7.85546875" style="358" customWidth="1"/>
    <col min="36" max="36" width="1.140625" style="358" customWidth="1"/>
    <col min="37" max="37" width="8.28515625" style="357" customWidth="1"/>
    <col min="38" max="38" width="5.42578125" style="358" customWidth="1"/>
    <col min="39" max="40" width="4.140625" style="358" customWidth="1"/>
    <col min="41" max="42" width="8.28515625" style="358" customWidth="1"/>
    <col min="43" max="43" width="1.42578125" style="358" customWidth="1"/>
    <col min="44" max="44" width="2.7109375" style="358" customWidth="1"/>
    <col min="45" max="45" width="8.28515625" style="358" customWidth="1"/>
    <col min="46" max="46" width="5" style="358" customWidth="1"/>
    <col min="47" max="47" width="6.5703125" style="363" customWidth="1"/>
    <col min="48" max="48" width="5" style="358" customWidth="1"/>
    <col min="49" max="49" width="7.85546875" style="358" customWidth="1"/>
    <col min="50" max="50" width="1.140625" style="358" customWidth="1"/>
    <col min="51" max="51" width="8.28515625" style="357" customWidth="1"/>
    <col min="52" max="52" width="5.42578125" style="358" customWidth="1"/>
    <col min="53" max="54" width="4.140625" style="358" customWidth="1"/>
    <col min="55" max="56" width="8.28515625" style="358" customWidth="1"/>
    <col min="57" max="57" width="1.42578125" style="358" customWidth="1"/>
    <col min="58" max="58" width="2.7109375" style="358" customWidth="1"/>
    <col min="59" max="59" width="8.28515625" style="358" customWidth="1"/>
    <col min="60" max="60" width="5" style="358" customWidth="1"/>
    <col min="61" max="61" width="6.5703125" style="363" customWidth="1"/>
    <col min="62" max="62" width="5" style="358" customWidth="1"/>
    <col min="63" max="63" width="7.85546875" style="358" customWidth="1"/>
    <col min="64" max="64" width="1.140625" style="358" customWidth="1"/>
    <col min="65" max="65" width="8.28515625" style="357" customWidth="1"/>
    <col min="66" max="66" width="5.42578125" style="358" customWidth="1"/>
    <col min="67" max="68" width="4.140625" style="358" customWidth="1"/>
    <col min="69" max="70" width="8.28515625" style="358" customWidth="1"/>
    <col min="71" max="71" width="1.42578125" style="358" customWidth="1"/>
    <col min="72" max="16384" width="11.42578125" style="358"/>
  </cols>
  <sheetData>
    <row r="5" spans="2:69">
      <c r="C5" s="357"/>
      <c r="G5" s="357"/>
      <c r="K5" s="357"/>
      <c r="Q5" s="357"/>
      <c r="U5" s="357"/>
      <c r="Y5" s="357"/>
      <c r="AE5" s="357"/>
      <c r="AI5" s="357"/>
      <c r="AM5" s="357"/>
      <c r="AS5" s="357"/>
      <c r="AW5" s="357"/>
      <c r="BA5" s="357"/>
      <c r="BG5" s="357"/>
      <c r="BK5" s="357"/>
      <c r="BO5" s="357"/>
    </row>
    <row r="6" spans="2:69">
      <c r="B6" s="364"/>
      <c r="C6" s="365"/>
      <c r="D6" s="366"/>
      <c r="E6" s="367"/>
      <c r="F6" s="366"/>
      <c r="G6" s="365"/>
      <c r="H6" s="366"/>
      <c r="I6" s="368" t="s">
        <v>283</v>
      </c>
      <c r="J6" s="369" t="s">
        <v>281</v>
      </c>
      <c r="K6" s="370" t="s">
        <v>280</v>
      </c>
      <c r="L6" s="369" t="s">
        <v>277</v>
      </c>
      <c r="M6" s="371" t="s">
        <v>284</v>
      </c>
      <c r="P6" s="364"/>
      <c r="Q6" s="365"/>
      <c r="R6" s="366"/>
      <c r="S6" s="367"/>
      <c r="T6" s="366"/>
      <c r="U6" s="365"/>
      <c r="V6" s="366"/>
      <c r="W6" s="368" t="s">
        <v>256</v>
      </c>
      <c r="X6" s="369" t="s">
        <v>281</v>
      </c>
      <c r="Y6" s="370" t="s">
        <v>280</v>
      </c>
      <c r="Z6" s="369" t="s">
        <v>277</v>
      </c>
      <c r="AA6" s="371" t="s">
        <v>285</v>
      </c>
      <c r="AD6" s="364"/>
      <c r="AE6" s="365"/>
      <c r="AF6" s="366"/>
      <c r="AG6" s="367"/>
      <c r="AH6" s="366"/>
      <c r="AI6" s="365"/>
      <c r="AJ6" s="366"/>
      <c r="AK6" s="368" t="s">
        <v>286</v>
      </c>
      <c r="AL6" s="369" t="s">
        <v>281</v>
      </c>
      <c r="AM6" s="370" t="s">
        <v>280</v>
      </c>
      <c r="AN6" s="369" t="s">
        <v>277</v>
      </c>
      <c r="AO6" s="371" t="s">
        <v>287</v>
      </c>
      <c r="AR6" s="364"/>
      <c r="AS6" s="365"/>
      <c r="AT6" s="366"/>
      <c r="AU6" s="367"/>
      <c r="AV6" s="366"/>
      <c r="AW6" s="365"/>
      <c r="AX6" s="366"/>
      <c r="AY6" s="368" t="s">
        <v>288</v>
      </c>
      <c r="AZ6" s="369" t="s">
        <v>281</v>
      </c>
      <c r="BA6" s="370" t="s">
        <v>280</v>
      </c>
      <c r="BB6" s="369" t="s">
        <v>277</v>
      </c>
      <c r="BC6" s="371" t="s">
        <v>289</v>
      </c>
      <c r="BF6" s="364"/>
      <c r="BG6" s="365"/>
      <c r="BH6" s="366"/>
      <c r="BI6" s="367"/>
      <c r="BJ6" s="366"/>
      <c r="BK6" s="365"/>
      <c r="BL6" s="366"/>
      <c r="BM6" s="368" t="s">
        <v>290</v>
      </c>
      <c r="BN6" s="369" t="s">
        <v>281</v>
      </c>
      <c r="BO6" s="370" t="s">
        <v>280</v>
      </c>
      <c r="BP6" s="369" t="s">
        <v>277</v>
      </c>
      <c r="BQ6" s="371" t="s">
        <v>291</v>
      </c>
    </row>
    <row r="7" spans="2:69">
      <c r="B7" s="372" t="s">
        <v>278</v>
      </c>
      <c r="C7" s="373"/>
      <c r="D7" s="374"/>
      <c r="E7" s="375"/>
      <c r="G7" s="376"/>
      <c r="I7" s="362">
        <f ca="1">kalkulation!H32</f>
        <v>822.51674107142856</v>
      </c>
      <c r="J7" s="377">
        <f ca="1">SUM(J9:J30)</f>
        <v>50</v>
      </c>
      <c r="K7" s="378">
        <f ca="1">L7-J7</f>
        <v>50</v>
      </c>
      <c r="L7" s="358">
        <v>100</v>
      </c>
      <c r="M7" s="361">
        <f ca="1">(L7*I7)/J7</f>
        <v>1645.0334821428571</v>
      </c>
      <c r="P7" s="372" t="s">
        <v>278</v>
      </c>
      <c r="Q7" s="373"/>
      <c r="R7" s="374"/>
      <c r="S7" s="375"/>
      <c r="U7" s="376"/>
      <c r="W7" s="362">
        <f ca="1">kalkulation!T32</f>
        <v>822.51674107142856</v>
      </c>
      <c r="X7" s="377">
        <f ca="1">SUM(X9:X30)</f>
        <v>50</v>
      </c>
      <c r="Y7" s="378">
        <f ca="1">Z7-X7</f>
        <v>50</v>
      </c>
      <c r="Z7" s="358">
        <v>100</v>
      </c>
      <c r="AA7" s="361">
        <f ca="1">(Z7*W7)/X7</f>
        <v>1645.0334821428571</v>
      </c>
      <c r="AD7" s="372" t="s">
        <v>278</v>
      </c>
      <c r="AE7" s="373"/>
      <c r="AF7" s="374"/>
      <c r="AG7" s="375"/>
      <c r="AI7" s="376"/>
      <c r="AK7" s="362">
        <f ca="1">kalkulation!AF32</f>
        <v>822.51674107142856</v>
      </c>
      <c r="AL7" s="377">
        <f ca="1">SUM(AL9:AL30)</f>
        <v>50</v>
      </c>
      <c r="AM7" s="378">
        <f ca="1">AN7-AL7</f>
        <v>50</v>
      </c>
      <c r="AN7" s="358">
        <v>100</v>
      </c>
      <c r="AO7" s="361">
        <f ca="1">(AN7*AK7)/AL7</f>
        <v>1645.0334821428571</v>
      </c>
      <c r="AR7" s="372" t="s">
        <v>278</v>
      </c>
      <c r="AS7" s="373"/>
      <c r="AT7" s="374"/>
      <c r="AU7" s="375"/>
      <c r="AW7" s="376"/>
      <c r="AY7" s="362">
        <f ca="1">kalkulation!AR32</f>
        <v>822.51674107142856</v>
      </c>
      <c r="AZ7" s="377">
        <f ca="1">SUM(AZ9:AZ30)</f>
        <v>50</v>
      </c>
      <c r="BA7" s="378">
        <f ca="1">BB7-AZ7</f>
        <v>50</v>
      </c>
      <c r="BB7" s="358">
        <v>100</v>
      </c>
      <c r="BC7" s="361">
        <f ca="1">(BB7*AY7)/AZ7</f>
        <v>1645.0334821428571</v>
      </c>
      <c r="BF7" s="372" t="s">
        <v>278</v>
      </c>
      <c r="BG7" s="373"/>
      <c r="BH7" s="374"/>
      <c r="BI7" s="375"/>
      <c r="BK7" s="376"/>
      <c r="BM7" s="362">
        <f ca="1">kalkulation!BD32</f>
        <v>822.51674107142856</v>
      </c>
      <c r="BN7" s="377">
        <f ca="1">SUM(BN9:BN30)</f>
        <v>50</v>
      </c>
      <c r="BO7" s="378">
        <f ca="1">BP7-BN7</f>
        <v>50</v>
      </c>
      <c r="BP7" s="358">
        <v>100</v>
      </c>
      <c r="BQ7" s="361">
        <f ca="1">(BP7*BM7)/BN7</f>
        <v>1645.0334821428571</v>
      </c>
    </row>
    <row r="8" spans="2:69">
      <c r="B8" s="372"/>
      <c r="C8" s="379" t="s">
        <v>231</v>
      </c>
      <c r="D8" s="380" t="s">
        <v>279</v>
      </c>
      <c r="E8" s="381" t="s">
        <v>280</v>
      </c>
      <c r="F8" s="380" t="s">
        <v>281</v>
      </c>
      <c r="G8" s="382" t="s">
        <v>247</v>
      </c>
      <c r="H8" s="380"/>
      <c r="I8" s="383"/>
      <c r="J8" s="360"/>
      <c r="K8" s="376"/>
      <c r="M8" s="384"/>
      <c r="P8" s="372"/>
      <c r="Q8" s="379" t="s">
        <v>231</v>
      </c>
      <c r="R8" s="380" t="s">
        <v>279</v>
      </c>
      <c r="S8" s="381" t="s">
        <v>280</v>
      </c>
      <c r="T8" s="380" t="s">
        <v>281</v>
      </c>
      <c r="U8" s="382" t="s">
        <v>247</v>
      </c>
      <c r="V8" s="380"/>
      <c r="W8" s="383"/>
      <c r="X8" s="360"/>
      <c r="Y8" s="376"/>
      <c r="AA8" s="384"/>
      <c r="AD8" s="372"/>
      <c r="AE8" s="379" t="s">
        <v>231</v>
      </c>
      <c r="AF8" s="380" t="s">
        <v>279</v>
      </c>
      <c r="AG8" s="381" t="s">
        <v>280</v>
      </c>
      <c r="AH8" s="380" t="s">
        <v>281</v>
      </c>
      <c r="AI8" s="382" t="s">
        <v>247</v>
      </c>
      <c r="AJ8" s="380"/>
      <c r="AK8" s="383"/>
      <c r="AL8" s="360"/>
      <c r="AM8" s="376"/>
      <c r="AO8" s="384"/>
      <c r="AR8" s="372"/>
      <c r="AS8" s="379" t="s">
        <v>231</v>
      </c>
      <c r="AT8" s="380" t="s">
        <v>279</v>
      </c>
      <c r="AU8" s="381" t="s">
        <v>280</v>
      </c>
      <c r="AV8" s="380" t="s">
        <v>281</v>
      </c>
      <c r="AW8" s="382" t="s">
        <v>247</v>
      </c>
      <c r="AX8" s="380"/>
      <c r="AY8" s="383"/>
      <c r="AZ8" s="360"/>
      <c r="BA8" s="376"/>
      <c r="BC8" s="384"/>
      <c r="BF8" s="372"/>
      <c r="BG8" s="379" t="s">
        <v>231</v>
      </c>
      <c r="BH8" s="380" t="s">
        <v>279</v>
      </c>
      <c r="BI8" s="381" t="s">
        <v>280</v>
      </c>
      <c r="BJ8" s="380" t="s">
        <v>281</v>
      </c>
      <c r="BK8" s="382" t="s">
        <v>247</v>
      </c>
      <c r="BL8" s="380"/>
      <c r="BM8" s="383"/>
      <c r="BN8" s="360"/>
      <c r="BO8" s="376"/>
      <c r="BQ8" s="384"/>
    </row>
    <row r="9" spans="2:69">
      <c r="B9" s="372"/>
      <c r="C9" s="383">
        <v>1000000</v>
      </c>
      <c r="D9" s="358">
        <v>100</v>
      </c>
      <c r="E9" s="385">
        <v>25</v>
      </c>
      <c r="F9" s="358">
        <v>85</v>
      </c>
      <c r="G9" s="377">
        <f>C9*F9/100</f>
        <v>850000</v>
      </c>
      <c r="I9" s="386">
        <f ca="1">I7</f>
        <v>822.51674107142856</v>
      </c>
      <c r="J9" s="387">
        <f t="shared" ref="J9:J30" ca="1" si="0">IF(AND(I9&lt;G9,I9&gt;=G10),F9,0)</f>
        <v>0</v>
      </c>
      <c r="K9" s="376"/>
      <c r="M9" s="384"/>
      <c r="P9" s="372"/>
      <c r="Q9" s="383">
        <v>1000000</v>
      </c>
      <c r="R9" s="358">
        <v>100</v>
      </c>
      <c r="S9" s="385">
        <v>25</v>
      </c>
      <c r="T9" s="358">
        <v>85</v>
      </c>
      <c r="U9" s="377">
        <f>Q9*T9/100</f>
        <v>850000</v>
      </c>
      <c r="W9" s="386">
        <f ca="1">W7</f>
        <v>822.51674107142856</v>
      </c>
      <c r="X9" s="387">
        <f t="shared" ref="X9:X30" ca="1" si="1">IF(AND(W9&lt;U9,W9&gt;=U10),T9,0)</f>
        <v>0</v>
      </c>
      <c r="Y9" s="376"/>
      <c r="AA9" s="384"/>
      <c r="AD9" s="372"/>
      <c r="AE9" s="383">
        <v>1000000</v>
      </c>
      <c r="AF9" s="358">
        <v>100</v>
      </c>
      <c r="AG9" s="385">
        <v>25</v>
      </c>
      <c r="AH9" s="358">
        <v>85</v>
      </c>
      <c r="AI9" s="377">
        <f>AE9*AH9/100</f>
        <v>850000</v>
      </c>
      <c r="AK9" s="386">
        <f ca="1">AK7</f>
        <v>822.51674107142856</v>
      </c>
      <c r="AL9" s="387">
        <f t="shared" ref="AL9:AL30" ca="1" si="2">IF(AND(AK9&lt;AI9,AK9&gt;=AI10),AH9,0)</f>
        <v>0</v>
      </c>
      <c r="AM9" s="376"/>
      <c r="AO9" s="384"/>
      <c r="AR9" s="372"/>
      <c r="AS9" s="383">
        <v>1000000</v>
      </c>
      <c r="AT9" s="358">
        <v>100</v>
      </c>
      <c r="AU9" s="385">
        <v>25</v>
      </c>
      <c r="AV9" s="358">
        <v>85</v>
      </c>
      <c r="AW9" s="377">
        <f>AS9*AV9/100</f>
        <v>850000</v>
      </c>
      <c r="AY9" s="386">
        <f ca="1">AY7</f>
        <v>822.51674107142856</v>
      </c>
      <c r="AZ9" s="387">
        <f t="shared" ref="AZ9:AZ30" ca="1" si="3">IF(AND(AY9&lt;AW9,AY9&gt;=AW10),AV9,0)</f>
        <v>0</v>
      </c>
      <c r="BA9" s="376"/>
      <c r="BC9" s="384"/>
      <c r="BF9" s="372"/>
      <c r="BG9" s="383">
        <v>1000000</v>
      </c>
      <c r="BH9" s="358">
        <v>100</v>
      </c>
      <c r="BI9" s="385">
        <v>25</v>
      </c>
      <c r="BJ9" s="358">
        <v>85</v>
      </c>
      <c r="BK9" s="377">
        <f>BG9*BJ9/100</f>
        <v>850000</v>
      </c>
      <c r="BM9" s="386">
        <f ca="1">BM7</f>
        <v>822.51674107142856</v>
      </c>
      <c r="BN9" s="387">
        <f t="shared" ref="BN9:BN30" ca="1" si="4">IF(AND(BM9&lt;BK9,BM9&gt;=BK10),BJ9,0)</f>
        <v>0</v>
      </c>
      <c r="BO9" s="376"/>
      <c r="BQ9" s="384"/>
    </row>
    <row r="10" spans="2:69">
      <c r="B10" s="372" t="s">
        <v>282</v>
      </c>
      <c r="C10" s="373">
        <v>20000</v>
      </c>
      <c r="D10" s="358">
        <v>100</v>
      </c>
      <c r="E10" s="375">
        <v>25</v>
      </c>
      <c r="F10" s="358">
        <v>85</v>
      </c>
      <c r="G10" s="377">
        <f>C10*F10/100</f>
        <v>17000</v>
      </c>
      <c r="I10" s="386">
        <f ca="1">I7</f>
        <v>822.51674107142856</v>
      </c>
      <c r="J10" s="387">
        <f t="shared" ca="1" si="0"/>
        <v>0</v>
      </c>
      <c r="K10" s="376"/>
      <c r="M10" s="384"/>
      <c r="P10" s="372" t="s">
        <v>282</v>
      </c>
      <c r="Q10" s="373">
        <v>20000</v>
      </c>
      <c r="R10" s="358">
        <v>100</v>
      </c>
      <c r="S10" s="375">
        <v>25</v>
      </c>
      <c r="T10" s="358">
        <v>85</v>
      </c>
      <c r="U10" s="377">
        <f>Q10*T10/100</f>
        <v>17000</v>
      </c>
      <c r="W10" s="386">
        <f ca="1">W7</f>
        <v>822.51674107142856</v>
      </c>
      <c r="X10" s="387">
        <f t="shared" ca="1" si="1"/>
        <v>0</v>
      </c>
      <c r="Y10" s="376"/>
      <c r="AA10" s="384"/>
      <c r="AD10" s="372" t="s">
        <v>282</v>
      </c>
      <c r="AE10" s="373">
        <v>20000</v>
      </c>
      <c r="AF10" s="358">
        <v>100</v>
      </c>
      <c r="AG10" s="375">
        <v>25</v>
      </c>
      <c r="AH10" s="358">
        <v>85</v>
      </c>
      <c r="AI10" s="377">
        <f>AE10*AH10/100</f>
        <v>17000</v>
      </c>
      <c r="AK10" s="386">
        <f ca="1">AK7</f>
        <v>822.51674107142856</v>
      </c>
      <c r="AL10" s="387">
        <f t="shared" ca="1" si="2"/>
        <v>0</v>
      </c>
      <c r="AM10" s="376"/>
      <c r="AO10" s="384"/>
      <c r="AR10" s="372" t="s">
        <v>282</v>
      </c>
      <c r="AS10" s="373">
        <v>20000</v>
      </c>
      <c r="AT10" s="358">
        <v>100</v>
      </c>
      <c r="AU10" s="375">
        <v>25</v>
      </c>
      <c r="AV10" s="358">
        <v>85</v>
      </c>
      <c r="AW10" s="377">
        <f>AS10*AV10/100</f>
        <v>17000</v>
      </c>
      <c r="AY10" s="386">
        <f ca="1">AY7</f>
        <v>822.51674107142856</v>
      </c>
      <c r="AZ10" s="387">
        <f t="shared" ca="1" si="3"/>
        <v>0</v>
      </c>
      <c r="BA10" s="376"/>
      <c r="BC10" s="384"/>
      <c r="BF10" s="372" t="s">
        <v>282</v>
      </c>
      <c r="BG10" s="373">
        <v>20000</v>
      </c>
      <c r="BH10" s="358">
        <v>100</v>
      </c>
      <c r="BI10" s="375">
        <v>25</v>
      </c>
      <c r="BJ10" s="358">
        <v>85</v>
      </c>
      <c r="BK10" s="377">
        <f>BG10*BJ10/100</f>
        <v>17000</v>
      </c>
      <c r="BM10" s="386">
        <f ca="1">BM7</f>
        <v>822.51674107142856</v>
      </c>
      <c r="BN10" s="387">
        <f t="shared" ca="1" si="4"/>
        <v>0</v>
      </c>
      <c r="BO10" s="376"/>
      <c r="BQ10" s="384"/>
    </row>
    <row r="11" spans="2:69">
      <c r="B11" s="372"/>
      <c r="C11" s="376">
        <v>19000</v>
      </c>
      <c r="D11" s="358">
        <v>100</v>
      </c>
      <c r="E11" s="385">
        <v>25.533333333333299</v>
      </c>
      <c r="F11" s="358">
        <v>84</v>
      </c>
      <c r="G11" s="377">
        <f t="shared" ref="G11:G30" si="5">C11*F11/100</f>
        <v>15960</v>
      </c>
      <c r="I11" s="386">
        <f ca="1">I10</f>
        <v>822.51674107142856</v>
      </c>
      <c r="J11" s="387">
        <f t="shared" ca="1" si="0"/>
        <v>0</v>
      </c>
      <c r="K11" s="376"/>
      <c r="M11" s="384"/>
      <c r="P11" s="372"/>
      <c r="Q11" s="376">
        <v>19000</v>
      </c>
      <c r="R11" s="358">
        <v>100</v>
      </c>
      <c r="S11" s="385">
        <v>25.533333333333299</v>
      </c>
      <c r="T11" s="358">
        <v>84</v>
      </c>
      <c r="U11" s="377">
        <f t="shared" ref="U11:U30" si="6">Q11*T11/100</f>
        <v>15960</v>
      </c>
      <c r="W11" s="386">
        <f ca="1">W10</f>
        <v>822.51674107142856</v>
      </c>
      <c r="X11" s="387">
        <f t="shared" ca="1" si="1"/>
        <v>0</v>
      </c>
      <c r="Y11" s="376"/>
      <c r="AA11" s="384"/>
      <c r="AD11" s="372"/>
      <c r="AE11" s="376">
        <v>19000</v>
      </c>
      <c r="AF11" s="358">
        <v>100</v>
      </c>
      <c r="AG11" s="385">
        <v>25.533333333333299</v>
      </c>
      <c r="AH11" s="358">
        <v>84</v>
      </c>
      <c r="AI11" s="377">
        <f t="shared" ref="AI11:AI30" si="7">AE11*AH11/100</f>
        <v>15960</v>
      </c>
      <c r="AK11" s="386">
        <f ca="1">AK10</f>
        <v>822.51674107142856</v>
      </c>
      <c r="AL11" s="387">
        <f t="shared" ca="1" si="2"/>
        <v>0</v>
      </c>
      <c r="AM11" s="376"/>
      <c r="AO11" s="384"/>
      <c r="AR11" s="372"/>
      <c r="AS11" s="376">
        <v>19000</v>
      </c>
      <c r="AT11" s="358">
        <v>100</v>
      </c>
      <c r="AU11" s="385">
        <v>25.533333333333299</v>
      </c>
      <c r="AV11" s="358">
        <v>84</v>
      </c>
      <c r="AW11" s="377">
        <f t="shared" ref="AW11:AW30" si="8">AS11*AV11/100</f>
        <v>15960</v>
      </c>
      <c r="AY11" s="386">
        <f ca="1">AY10</f>
        <v>822.51674107142856</v>
      </c>
      <c r="AZ11" s="387">
        <f t="shared" ca="1" si="3"/>
        <v>0</v>
      </c>
      <c r="BA11" s="376"/>
      <c r="BC11" s="384"/>
      <c r="BF11" s="372"/>
      <c r="BG11" s="376">
        <v>19000</v>
      </c>
      <c r="BH11" s="358">
        <v>100</v>
      </c>
      <c r="BI11" s="385">
        <v>25.533333333333299</v>
      </c>
      <c r="BJ11" s="358">
        <v>84</v>
      </c>
      <c r="BK11" s="377">
        <f t="shared" ref="BK11:BK30" si="9">BG11*BJ11/100</f>
        <v>15960</v>
      </c>
      <c r="BM11" s="386">
        <f ca="1">BM10</f>
        <v>822.51674107142856</v>
      </c>
      <c r="BN11" s="387">
        <f t="shared" ca="1" si="4"/>
        <v>0</v>
      </c>
      <c r="BO11" s="376"/>
      <c r="BQ11" s="384"/>
    </row>
    <row r="12" spans="2:69">
      <c r="B12" s="372"/>
      <c r="C12" s="376">
        <v>18000</v>
      </c>
      <c r="D12" s="358">
        <v>100</v>
      </c>
      <c r="E12" s="385">
        <v>26.933333333333302</v>
      </c>
      <c r="F12" s="358">
        <v>82</v>
      </c>
      <c r="G12" s="377">
        <f t="shared" si="5"/>
        <v>14760</v>
      </c>
      <c r="I12" s="386">
        <f t="shared" ref="I12:I30" ca="1" si="10">I11</f>
        <v>822.51674107142856</v>
      </c>
      <c r="J12" s="387">
        <f t="shared" ca="1" si="0"/>
        <v>0</v>
      </c>
      <c r="K12" s="376"/>
      <c r="M12" s="384"/>
      <c r="P12" s="372"/>
      <c r="Q12" s="376">
        <v>18000</v>
      </c>
      <c r="R12" s="358">
        <v>100</v>
      </c>
      <c r="S12" s="385">
        <v>26.933333333333302</v>
      </c>
      <c r="T12" s="358">
        <v>82</v>
      </c>
      <c r="U12" s="377">
        <f t="shared" si="6"/>
        <v>14760</v>
      </c>
      <c r="W12" s="386">
        <f t="shared" ref="W12:W30" ca="1" si="11">W11</f>
        <v>822.51674107142856</v>
      </c>
      <c r="X12" s="387">
        <f t="shared" ca="1" si="1"/>
        <v>0</v>
      </c>
      <c r="Y12" s="376"/>
      <c r="AA12" s="384"/>
      <c r="AD12" s="372"/>
      <c r="AE12" s="376">
        <v>18000</v>
      </c>
      <c r="AF12" s="358">
        <v>100</v>
      </c>
      <c r="AG12" s="385">
        <v>26.933333333333302</v>
      </c>
      <c r="AH12" s="358">
        <v>82</v>
      </c>
      <c r="AI12" s="377">
        <f t="shared" si="7"/>
        <v>14760</v>
      </c>
      <c r="AK12" s="386">
        <f t="shared" ref="AK12:AK30" ca="1" si="12">AK11</f>
        <v>822.51674107142856</v>
      </c>
      <c r="AL12" s="387">
        <f t="shared" ca="1" si="2"/>
        <v>0</v>
      </c>
      <c r="AM12" s="376"/>
      <c r="AO12" s="384"/>
      <c r="AR12" s="372"/>
      <c r="AS12" s="376">
        <v>18000</v>
      </c>
      <c r="AT12" s="358">
        <v>100</v>
      </c>
      <c r="AU12" s="385">
        <v>26.933333333333302</v>
      </c>
      <c r="AV12" s="358">
        <v>82</v>
      </c>
      <c r="AW12" s="377">
        <f t="shared" si="8"/>
        <v>14760</v>
      </c>
      <c r="AY12" s="386">
        <f t="shared" ref="AY12:AY30" ca="1" si="13">AY11</f>
        <v>822.51674107142856</v>
      </c>
      <c r="AZ12" s="387">
        <f t="shared" ca="1" si="3"/>
        <v>0</v>
      </c>
      <c r="BA12" s="376"/>
      <c r="BC12" s="384"/>
      <c r="BF12" s="372"/>
      <c r="BG12" s="376">
        <v>18000</v>
      </c>
      <c r="BH12" s="358">
        <v>100</v>
      </c>
      <c r="BI12" s="385">
        <v>26.933333333333302</v>
      </c>
      <c r="BJ12" s="358">
        <v>82</v>
      </c>
      <c r="BK12" s="377">
        <f t="shared" si="9"/>
        <v>14760</v>
      </c>
      <c r="BM12" s="386">
        <f t="shared" ref="BM12:BM30" ca="1" si="14">BM11</f>
        <v>822.51674107142856</v>
      </c>
      <c r="BN12" s="387">
        <f t="shared" ca="1" si="4"/>
        <v>0</v>
      </c>
      <c r="BO12" s="376"/>
      <c r="BQ12" s="384"/>
    </row>
    <row r="13" spans="2:69">
      <c r="B13" s="372"/>
      <c r="C13" s="376">
        <v>17000</v>
      </c>
      <c r="D13" s="358">
        <v>100</v>
      </c>
      <c r="E13" s="385">
        <v>28.3333333333333</v>
      </c>
      <c r="F13" s="358">
        <v>80</v>
      </c>
      <c r="G13" s="377">
        <f t="shared" si="5"/>
        <v>13600</v>
      </c>
      <c r="I13" s="386">
        <f t="shared" ca="1" si="10"/>
        <v>822.51674107142856</v>
      </c>
      <c r="J13" s="387">
        <f t="shared" ca="1" si="0"/>
        <v>0</v>
      </c>
      <c r="K13" s="376"/>
      <c r="M13" s="384"/>
      <c r="P13" s="372"/>
      <c r="Q13" s="376">
        <v>17000</v>
      </c>
      <c r="R13" s="358">
        <v>100</v>
      </c>
      <c r="S13" s="385">
        <v>28.3333333333333</v>
      </c>
      <c r="T13" s="358">
        <v>80</v>
      </c>
      <c r="U13" s="377">
        <f t="shared" si="6"/>
        <v>13600</v>
      </c>
      <c r="W13" s="386">
        <f t="shared" ca="1" si="11"/>
        <v>822.51674107142856</v>
      </c>
      <c r="X13" s="387">
        <f t="shared" ca="1" si="1"/>
        <v>0</v>
      </c>
      <c r="Y13" s="376"/>
      <c r="AA13" s="384"/>
      <c r="AD13" s="372"/>
      <c r="AE13" s="376">
        <v>17000</v>
      </c>
      <c r="AF13" s="358">
        <v>100</v>
      </c>
      <c r="AG13" s="385">
        <v>28.3333333333333</v>
      </c>
      <c r="AH13" s="358">
        <v>80</v>
      </c>
      <c r="AI13" s="377">
        <f t="shared" si="7"/>
        <v>13600</v>
      </c>
      <c r="AK13" s="386">
        <f t="shared" ca="1" si="12"/>
        <v>822.51674107142856</v>
      </c>
      <c r="AL13" s="387">
        <f t="shared" ca="1" si="2"/>
        <v>0</v>
      </c>
      <c r="AM13" s="376"/>
      <c r="AO13" s="384"/>
      <c r="AR13" s="372"/>
      <c r="AS13" s="376">
        <v>17000</v>
      </c>
      <c r="AT13" s="358">
        <v>100</v>
      </c>
      <c r="AU13" s="385">
        <v>28.3333333333333</v>
      </c>
      <c r="AV13" s="358">
        <v>80</v>
      </c>
      <c r="AW13" s="377">
        <f t="shared" si="8"/>
        <v>13600</v>
      </c>
      <c r="AY13" s="386">
        <f t="shared" ca="1" si="13"/>
        <v>822.51674107142856</v>
      </c>
      <c r="AZ13" s="387">
        <f t="shared" ca="1" si="3"/>
        <v>0</v>
      </c>
      <c r="BA13" s="376"/>
      <c r="BC13" s="384"/>
      <c r="BF13" s="372"/>
      <c r="BG13" s="376">
        <v>17000</v>
      </c>
      <c r="BH13" s="358">
        <v>100</v>
      </c>
      <c r="BI13" s="385">
        <v>28.3333333333333</v>
      </c>
      <c r="BJ13" s="358">
        <v>80</v>
      </c>
      <c r="BK13" s="377">
        <f t="shared" si="9"/>
        <v>13600</v>
      </c>
      <c r="BM13" s="386">
        <f t="shared" ca="1" si="14"/>
        <v>822.51674107142856</v>
      </c>
      <c r="BN13" s="387">
        <f t="shared" ca="1" si="4"/>
        <v>0</v>
      </c>
      <c r="BO13" s="376"/>
      <c r="BQ13" s="384"/>
    </row>
    <row r="14" spans="2:69">
      <c r="B14" s="372"/>
      <c r="C14" s="376">
        <v>16000</v>
      </c>
      <c r="D14" s="358">
        <v>100</v>
      </c>
      <c r="E14" s="385">
        <v>29.733333333333299</v>
      </c>
      <c r="F14" s="358">
        <v>78</v>
      </c>
      <c r="G14" s="377">
        <f t="shared" si="5"/>
        <v>12480</v>
      </c>
      <c r="I14" s="386">
        <f t="shared" ca="1" si="10"/>
        <v>822.51674107142856</v>
      </c>
      <c r="J14" s="387">
        <f t="shared" ca="1" si="0"/>
        <v>0</v>
      </c>
      <c r="K14" s="376"/>
      <c r="M14" s="384"/>
      <c r="P14" s="372"/>
      <c r="Q14" s="376">
        <v>16000</v>
      </c>
      <c r="R14" s="358">
        <v>100</v>
      </c>
      <c r="S14" s="385">
        <v>29.733333333333299</v>
      </c>
      <c r="T14" s="358">
        <v>78</v>
      </c>
      <c r="U14" s="377">
        <f t="shared" si="6"/>
        <v>12480</v>
      </c>
      <c r="W14" s="386">
        <f t="shared" ca="1" si="11"/>
        <v>822.51674107142856</v>
      </c>
      <c r="X14" s="387">
        <f t="shared" ca="1" si="1"/>
        <v>0</v>
      </c>
      <c r="Y14" s="376"/>
      <c r="AA14" s="384"/>
      <c r="AD14" s="372"/>
      <c r="AE14" s="376">
        <v>16000</v>
      </c>
      <c r="AF14" s="358">
        <v>100</v>
      </c>
      <c r="AG14" s="385">
        <v>29.733333333333299</v>
      </c>
      <c r="AH14" s="358">
        <v>78</v>
      </c>
      <c r="AI14" s="377">
        <f t="shared" si="7"/>
        <v>12480</v>
      </c>
      <c r="AK14" s="386">
        <f t="shared" ca="1" si="12"/>
        <v>822.51674107142856</v>
      </c>
      <c r="AL14" s="387">
        <f t="shared" ca="1" si="2"/>
        <v>0</v>
      </c>
      <c r="AM14" s="376"/>
      <c r="AO14" s="384"/>
      <c r="AR14" s="372"/>
      <c r="AS14" s="376">
        <v>16000</v>
      </c>
      <c r="AT14" s="358">
        <v>100</v>
      </c>
      <c r="AU14" s="385">
        <v>29.733333333333299</v>
      </c>
      <c r="AV14" s="358">
        <v>78</v>
      </c>
      <c r="AW14" s="377">
        <f t="shared" si="8"/>
        <v>12480</v>
      </c>
      <c r="AY14" s="386">
        <f t="shared" ca="1" si="13"/>
        <v>822.51674107142856</v>
      </c>
      <c r="AZ14" s="387">
        <f t="shared" ca="1" si="3"/>
        <v>0</v>
      </c>
      <c r="BA14" s="376"/>
      <c r="BC14" s="384"/>
      <c r="BF14" s="372"/>
      <c r="BG14" s="376">
        <v>16000</v>
      </c>
      <c r="BH14" s="358">
        <v>100</v>
      </c>
      <c r="BI14" s="385">
        <v>29.733333333333299</v>
      </c>
      <c r="BJ14" s="358">
        <v>78</v>
      </c>
      <c r="BK14" s="377">
        <f t="shared" si="9"/>
        <v>12480</v>
      </c>
      <c r="BM14" s="386">
        <f t="shared" ca="1" si="14"/>
        <v>822.51674107142856</v>
      </c>
      <c r="BN14" s="387">
        <f t="shared" ca="1" si="4"/>
        <v>0</v>
      </c>
      <c r="BO14" s="376"/>
      <c r="BQ14" s="384"/>
    </row>
    <row r="15" spans="2:69">
      <c r="B15" s="372"/>
      <c r="C15" s="376">
        <v>15000</v>
      </c>
      <c r="D15" s="358">
        <v>100</v>
      </c>
      <c r="E15" s="385">
        <v>31.133333333333301</v>
      </c>
      <c r="F15" s="358">
        <v>76</v>
      </c>
      <c r="G15" s="377">
        <f t="shared" si="5"/>
        <v>11400</v>
      </c>
      <c r="I15" s="386">
        <f t="shared" ca="1" si="10"/>
        <v>822.51674107142856</v>
      </c>
      <c r="J15" s="387">
        <f t="shared" ca="1" si="0"/>
        <v>0</v>
      </c>
      <c r="K15" s="376"/>
      <c r="M15" s="384"/>
      <c r="P15" s="372"/>
      <c r="Q15" s="376">
        <v>15000</v>
      </c>
      <c r="R15" s="358">
        <v>100</v>
      </c>
      <c r="S15" s="385">
        <v>31.133333333333301</v>
      </c>
      <c r="T15" s="358">
        <v>76</v>
      </c>
      <c r="U15" s="377">
        <f t="shared" si="6"/>
        <v>11400</v>
      </c>
      <c r="W15" s="386">
        <f t="shared" ca="1" si="11"/>
        <v>822.51674107142856</v>
      </c>
      <c r="X15" s="387">
        <f t="shared" ca="1" si="1"/>
        <v>0</v>
      </c>
      <c r="Y15" s="376"/>
      <c r="AA15" s="384"/>
      <c r="AD15" s="372"/>
      <c r="AE15" s="376">
        <v>15000</v>
      </c>
      <c r="AF15" s="358">
        <v>100</v>
      </c>
      <c r="AG15" s="385">
        <v>31.133333333333301</v>
      </c>
      <c r="AH15" s="358">
        <v>76</v>
      </c>
      <c r="AI15" s="377">
        <f t="shared" si="7"/>
        <v>11400</v>
      </c>
      <c r="AK15" s="386">
        <f t="shared" ca="1" si="12"/>
        <v>822.51674107142856</v>
      </c>
      <c r="AL15" s="387">
        <f t="shared" ca="1" si="2"/>
        <v>0</v>
      </c>
      <c r="AM15" s="376"/>
      <c r="AO15" s="384"/>
      <c r="AR15" s="372"/>
      <c r="AS15" s="376">
        <v>15000</v>
      </c>
      <c r="AT15" s="358">
        <v>100</v>
      </c>
      <c r="AU15" s="385">
        <v>31.133333333333301</v>
      </c>
      <c r="AV15" s="358">
        <v>76</v>
      </c>
      <c r="AW15" s="377">
        <f t="shared" si="8"/>
        <v>11400</v>
      </c>
      <c r="AY15" s="386">
        <f t="shared" ca="1" si="13"/>
        <v>822.51674107142856</v>
      </c>
      <c r="AZ15" s="387">
        <f t="shared" ca="1" si="3"/>
        <v>0</v>
      </c>
      <c r="BA15" s="376"/>
      <c r="BC15" s="384"/>
      <c r="BF15" s="372"/>
      <c r="BG15" s="376">
        <v>15000</v>
      </c>
      <c r="BH15" s="358">
        <v>100</v>
      </c>
      <c r="BI15" s="385">
        <v>31.133333333333301</v>
      </c>
      <c r="BJ15" s="358">
        <v>76</v>
      </c>
      <c r="BK15" s="377">
        <f t="shared" si="9"/>
        <v>11400</v>
      </c>
      <c r="BM15" s="386">
        <f t="shared" ca="1" si="14"/>
        <v>822.51674107142856</v>
      </c>
      <c r="BN15" s="387">
        <f t="shared" ca="1" si="4"/>
        <v>0</v>
      </c>
      <c r="BO15" s="376"/>
      <c r="BQ15" s="384"/>
    </row>
    <row r="16" spans="2:69">
      <c r="B16" s="372"/>
      <c r="C16" s="376">
        <v>14000</v>
      </c>
      <c r="D16" s="358">
        <v>100</v>
      </c>
      <c r="E16" s="385">
        <v>32.533333333333303</v>
      </c>
      <c r="F16" s="358">
        <v>74</v>
      </c>
      <c r="G16" s="377">
        <f t="shared" si="5"/>
        <v>10360</v>
      </c>
      <c r="I16" s="386">
        <f t="shared" ca="1" si="10"/>
        <v>822.51674107142856</v>
      </c>
      <c r="J16" s="387">
        <f t="shared" ca="1" si="0"/>
        <v>0</v>
      </c>
      <c r="K16" s="376"/>
      <c r="M16" s="384"/>
      <c r="P16" s="372"/>
      <c r="Q16" s="376">
        <v>14000</v>
      </c>
      <c r="R16" s="358">
        <v>100</v>
      </c>
      <c r="S16" s="385">
        <v>32.533333333333303</v>
      </c>
      <c r="T16" s="358">
        <v>74</v>
      </c>
      <c r="U16" s="377">
        <f t="shared" si="6"/>
        <v>10360</v>
      </c>
      <c r="W16" s="386">
        <f t="shared" ca="1" si="11"/>
        <v>822.51674107142856</v>
      </c>
      <c r="X16" s="387">
        <f t="shared" ca="1" si="1"/>
        <v>0</v>
      </c>
      <c r="Y16" s="376"/>
      <c r="AA16" s="384"/>
      <c r="AD16" s="372"/>
      <c r="AE16" s="376">
        <v>14000</v>
      </c>
      <c r="AF16" s="358">
        <v>100</v>
      </c>
      <c r="AG16" s="385">
        <v>32.533333333333303</v>
      </c>
      <c r="AH16" s="358">
        <v>74</v>
      </c>
      <c r="AI16" s="377">
        <f t="shared" si="7"/>
        <v>10360</v>
      </c>
      <c r="AK16" s="386">
        <f t="shared" ca="1" si="12"/>
        <v>822.51674107142856</v>
      </c>
      <c r="AL16" s="387">
        <f t="shared" ca="1" si="2"/>
        <v>0</v>
      </c>
      <c r="AM16" s="376"/>
      <c r="AO16" s="384"/>
      <c r="AR16" s="372"/>
      <c r="AS16" s="376">
        <v>14000</v>
      </c>
      <c r="AT16" s="358">
        <v>100</v>
      </c>
      <c r="AU16" s="385">
        <v>32.533333333333303</v>
      </c>
      <c r="AV16" s="358">
        <v>74</v>
      </c>
      <c r="AW16" s="377">
        <f t="shared" si="8"/>
        <v>10360</v>
      </c>
      <c r="AY16" s="386">
        <f t="shared" ca="1" si="13"/>
        <v>822.51674107142856</v>
      </c>
      <c r="AZ16" s="387">
        <f t="shared" ca="1" si="3"/>
        <v>0</v>
      </c>
      <c r="BA16" s="376"/>
      <c r="BC16" s="384"/>
      <c r="BF16" s="372"/>
      <c r="BG16" s="376">
        <v>14000</v>
      </c>
      <c r="BH16" s="358">
        <v>100</v>
      </c>
      <c r="BI16" s="385">
        <v>32.533333333333303</v>
      </c>
      <c r="BJ16" s="358">
        <v>74</v>
      </c>
      <c r="BK16" s="377">
        <f t="shared" si="9"/>
        <v>10360</v>
      </c>
      <c r="BM16" s="386">
        <f t="shared" ca="1" si="14"/>
        <v>822.51674107142856</v>
      </c>
      <c r="BN16" s="387">
        <f t="shared" ca="1" si="4"/>
        <v>0</v>
      </c>
      <c r="BO16" s="376"/>
      <c r="BQ16" s="384"/>
    </row>
    <row r="17" spans="2:69">
      <c r="B17" s="372"/>
      <c r="C17" s="376">
        <v>13000</v>
      </c>
      <c r="D17" s="358">
        <v>100</v>
      </c>
      <c r="E17" s="385">
        <v>33.933333333333302</v>
      </c>
      <c r="F17" s="358">
        <v>72</v>
      </c>
      <c r="G17" s="377">
        <f t="shared" si="5"/>
        <v>9360</v>
      </c>
      <c r="I17" s="386">
        <f t="shared" ca="1" si="10"/>
        <v>822.51674107142856</v>
      </c>
      <c r="J17" s="387">
        <f t="shared" ca="1" si="0"/>
        <v>0</v>
      </c>
      <c r="K17" s="376"/>
      <c r="M17" s="384"/>
      <c r="P17" s="372"/>
      <c r="Q17" s="376">
        <v>13000</v>
      </c>
      <c r="R17" s="358">
        <v>100</v>
      </c>
      <c r="S17" s="385">
        <v>33.933333333333302</v>
      </c>
      <c r="T17" s="358">
        <v>72</v>
      </c>
      <c r="U17" s="377">
        <f t="shared" si="6"/>
        <v>9360</v>
      </c>
      <c r="W17" s="386">
        <f t="shared" ca="1" si="11"/>
        <v>822.51674107142856</v>
      </c>
      <c r="X17" s="387">
        <f t="shared" ca="1" si="1"/>
        <v>0</v>
      </c>
      <c r="Y17" s="376"/>
      <c r="AA17" s="384"/>
      <c r="AD17" s="372"/>
      <c r="AE17" s="376">
        <v>13000</v>
      </c>
      <c r="AF17" s="358">
        <v>100</v>
      </c>
      <c r="AG17" s="385">
        <v>33.933333333333302</v>
      </c>
      <c r="AH17" s="358">
        <v>72</v>
      </c>
      <c r="AI17" s="377">
        <f t="shared" si="7"/>
        <v>9360</v>
      </c>
      <c r="AK17" s="386">
        <f t="shared" ca="1" si="12"/>
        <v>822.51674107142856</v>
      </c>
      <c r="AL17" s="387">
        <f t="shared" ca="1" si="2"/>
        <v>0</v>
      </c>
      <c r="AM17" s="376"/>
      <c r="AO17" s="384"/>
      <c r="AR17" s="372"/>
      <c r="AS17" s="376">
        <v>13000</v>
      </c>
      <c r="AT17" s="358">
        <v>100</v>
      </c>
      <c r="AU17" s="385">
        <v>33.933333333333302</v>
      </c>
      <c r="AV17" s="358">
        <v>72</v>
      </c>
      <c r="AW17" s="377">
        <f t="shared" si="8"/>
        <v>9360</v>
      </c>
      <c r="AY17" s="386">
        <f t="shared" ca="1" si="13"/>
        <v>822.51674107142856</v>
      </c>
      <c r="AZ17" s="387">
        <f t="shared" ca="1" si="3"/>
        <v>0</v>
      </c>
      <c r="BA17" s="376"/>
      <c r="BC17" s="384"/>
      <c r="BF17" s="372"/>
      <c r="BG17" s="376">
        <v>13000</v>
      </c>
      <c r="BH17" s="358">
        <v>100</v>
      </c>
      <c r="BI17" s="385">
        <v>33.933333333333302</v>
      </c>
      <c r="BJ17" s="358">
        <v>72</v>
      </c>
      <c r="BK17" s="377">
        <f t="shared" si="9"/>
        <v>9360</v>
      </c>
      <c r="BM17" s="386">
        <f t="shared" ca="1" si="14"/>
        <v>822.51674107142856</v>
      </c>
      <c r="BN17" s="387">
        <f t="shared" ca="1" si="4"/>
        <v>0</v>
      </c>
      <c r="BO17" s="376"/>
      <c r="BQ17" s="384"/>
    </row>
    <row r="18" spans="2:69">
      <c r="B18" s="372"/>
      <c r="C18" s="376">
        <v>12000</v>
      </c>
      <c r="D18" s="358">
        <v>100</v>
      </c>
      <c r="E18" s="385">
        <v>35.3333333333333</v>
      </c>
      <c r="F18" s="358">
        <v>70</v>
      </c>
      <c r="G18" s="377">
        <f t="shared" si="5"/>
        <v>8400</v>
      </c>
      <c r="I18" s="386">
        <f t="shared" ca="1" si="10"/>
        <v>822.51674107142856</v>
      </c>
      <c r="J18" s="387">
        <f t="shared" ca="1" si="0"/>
        <v>0</v>
      </c>
      <c r="K18" s="376"/>
      <c r="M18" s="384"/>
      <c r="P18" s="372"/>
      <c r="Q18" s="376">
        <v>12000</v>
      </c>
      <c r="R18" s="358">
        <v>100</v>
      </c>
      <c r="S18" s="385">
        <v>35.3333333333333</v>
      </c>
      <c r="T18" s="358">
        <v>70</v>
      </c>
      <c r="U18" s="377">
        <f t="shared" si="6"/>
        <v>8400</v>
      </c>
      <c r="W18" s="386">
        <f t="shared" ca="1" si="11"/>
        <v>822.51674107142856</v>
      </c>
      <c r="X18" s="387">
        <f t="shared" ca="1" si="1"/>
        <v>0</v>
      </c>
      <c r="Y18" s="376"/>
      <c r="AA18" s="384"/>
      <c r="AD18" s="372"/>
      <c r="AE18" s="376">
        <v>12000</v>
      </c>
      <c r="AF18" s="358">
        <v>100</v>
      </c>
      <c r="AG18" s="385">
        <v>35.3333333333333</v>
      </c>
      <c r="AH18" s="358">
        <v>70</v>
      </c>
      <c r="AI18" s="377">
        <f t="shared" si="7"/>
        <v>8400</v>
      </c>
      <c r="AK18" s="386">
        <f t="shared" ca="1" si="12"/>
        <v>822.51674107142856</v>
      </c>
      <c r="AL18" s="387">
        <f t="shared" ca="1" si="2"/>
        <v>0</v>
      </c>
      <c r="AM18" s="376"/>
      <c r="AO18" s="384"/>
      <c r="AR18" s="372"/>
      <c r="AS18" s="376">
        <v>12000</v>
      </c>
      <c r="AT18" s="358">
        <v>100</v>
      </c>
      <c r="AU18" s="385">
        <v>35.3333333333333</v>
      </c>
      <c r="AV18" s="358">
        <v>70</v>
      </c>
      <c r="AW18" s="377">
        <f t="shared" si="8"/>
        <v>8400</v>
      </c>
      <c r="AY18" s="386">
        <f t="shared" ca="1" si="13"/>
        <v>822.51674107142856</v>
      </c>
      <c r="AZ18" s="387">
        <f t="shared" ca="1" si="3"/>
        <v>0</v>
      </c>
      <c r="BA18" s="376"/>
      <c r="BC18" s="384"/>
      <c r="BF18" s="372"/>
      <c r="BG18" s="376">
        <v>12000</v>
      </c>
      <c r="BH18" s="358">
        <v>100</v>
      </c>
      <c r="BI18" s="385">
        <v>35.3333333333333</v>
      </c>
      <c r="BJ18" s="358">
        <v>70</v>
      </c>
      <c r="BK18" s="377">
        <f t="shared" si="9"/>
        <v>8400</v>
      </c>
      <c r="BM18" s="386">
        <f t="shared" ca="1" si="14"/>
        <v>822.51674107142856</v>
      </c>
      <c r="BN18" s="387">
        <f t="shared" ca="1" si="4"/>
        <v>0</v>
      </c>
      <c r="BO18" s="376"/>
      <c r="BQ18" s="384"/>
    </row>
    <row r="19" spans="2:69">
      <c r="B19" s="372"/>
      <c r="C19" s="376">
        <v>11000</v>
      </c>
      <c r="D19" s="358">
        <v>100</v>
      </c>
      <c r="E19" s="385">
        <v>36.733333333333299</v>
      </c>
      <c r="F19" s="358">
        <v>68</v>
      </c>
      <c r="G19" s="377">
        <f t="shared" si="5"/>
        <v>7480</v>
      </c>
      <c r="I19" s="386">
        <f t="shared" ca="1" si="10"/>
        <v>822.51674107142856</v>
      </c>
      <c r="J19" s="387">
        <f t="shared" ca="1" si="0"/>
        <v>0</v>
      </c>
      <c r="K19" s="376"/>
      <c r="M19" s="384"/>
      <c r="P19" s="372"/>
      <c r="Q19" s="376">
        <v>11000</v>
      </c>
      <c r="R19" s="358">
        <v>100</v>
      </c>
      <c r="S19" s="385">
        <v>36.733333333333299</v>
      </c>
      <c r="T19" s="358">
        <v>68</v>
      </c>
      <c r="U19" s="377">
        <f t="shared" si="6"/>
        <v>7480</v>
      </c>
      <c r="W19" s="386">
        <f t="shared" ca="1" si="11"/>
        <v>822.51674107142856</v>
      </c>
      <c r="X19" s="387">
        <f t="shared" ca="1" si="1"/>
        <v>0</v>
      </c>
      <c r="Y19" s="376"/>
      <c r="AA19" s="384"/>
      <c r="AD19" s="372"/>
      <c r="AE19" s="376">
        <v>11000</v>
      </c>
      <c r="AF19" s="358">
        <v>100</v>
      </c>
      <c r="AG19" s="385">
        <v>36.733333333333299</v>
      </c>
      <c r="AH19" s="358">
        <v>68</v>
      </c>
      <c r="AI19" s="377">
        <f t="shared" si="7"/>
        <v>7480</v>
      </c>
      <c r="AK19" s="386">
        <f t="shared" ca="1" si="12"/>
        <v>822.51674107142856</v>
      </c>
      <c r="AL19" s="387">
        <f t="shared" ca="1" si="2"/>
        <v>0</v>
      </c>
      <c r="AM19" s="376"/>
      <c r="AO19" s="384"/>
      <c r="AR19" s="372"/>
      <c r="AS19" s="376">
        <v>11000</v>
      </c>
      <c r="AT19" s="358">
        <v>100</v>
      </c>
      <c r="AU19" s="385">
        <v>36.733333333333299</v>
      </c>
      <c r="AV19" s="358">
        <v>68</v>
      </c>
      <c r="AW19" s="377">
        <f t="shared" si="8"/>
        <v>7480</v>
      </c>
      <c r="AY19" s="386">
        <f t="shared" ca="1" si="13"/>
        <v>822.51674107142856</v>
      </c>
      <c r="AZ19" s="387">
        <f t="shared" ca="1" si="3"/>
        <v>0</v>
      </c>
      <c r="BA19" s="376"/>
      <c r="BC19" s="384"/>
      <c r="BF19" s="372"/>
      <c r="BG19" s="376">
        <v>11000</v>
      </c>
      <c r="BH19" s="358">
        <v>100</v>
      </c>
      <c r="BI19" s="385">
        <v>36.733333333333299</v>
      </c>
      <c r="BJ19" s="358">
        <v>68</v>
      </c>
      <c r="BK19" s="377">
        <f t="shared" si="9"/>
        <v>7480</v>
      </c>
      <c r="BM19" s="386">
        <f t="shared" ca="1" si="14"/>
        <v>822.51674107142856</v>
      </c>
      <c r="BN19" s="387">
        <f t="shared" ca="1" si="4"/>
        <v>0</v>
      </c>
      <c r="BO19" s="376"/>
      <c r="BQ19" s="384"/>
    </row>
    <row r="20" spans="2:69">
      <c r="B20" s="372"/>
      <c r="C20" s="376">
        <v>10000</v>
      </c>
      <c r="D20" s="358">
        <v>100</v>
      </c>
      <c r="E20" s="385">
        <v>38.133333333333297</v>
      </c>
      <c r="F20" s="358">
        <v>66</v>
      </c>
      <c r="G20" s="377">
        <f t="shared" si="5"/>
        <v>6600</v>
      </c>
      <c r="I20" s="386">
        <f t="shared" ca="1" si="10"/>
        <v>822.51674107142856</v>
      </c>
      <c r="J20" s="387">
        <f t="shared" ca="1" si="0"/>
        <v>0</v>
      </c>
      <c r="K20" s="376"/>
      <c r="M20" s="384"/>
      <c r="P20" s="372"/>
      <c r="Q20" s="376">
        <v>10000</v>
      </c>
      <c r="R20" s="358">
        <v>100</v>
      </c>
      <c r="S20" s="385">
        <v>38.133333333333297</v>
      </c>
      <c r="T20" s="358">
        <v>66</v>
      </c>
      <c r="U20" s="377">
        <f t="shared" si="6"/>
        <v>6600</v>
      </c>
      <c r="W20" s="386">
        <f t="shared" ca="1" si="11"/>
        <v>822.51674107142856</v>
      </c>
      <c r="X20" s="387">
        <f t="shared" ca="1" si="1"/>
        <v>0</v>
      </c>
      <c r="Y20" s="376"/>
      <c r="AA20" s="384"/>
      <c r="AD20" s="372"/>
      <c r="AE20" s="376">
        <v>10000</v>
      </c>
      <c r="AF20" s="358">
        <v>100</v>
      </c>
      <c r="AG20" s="385">
        <v>38.133333333333297</v>
      </c>
      <c r="AH20" s="358">
        <v>66</v>
      </c>
      <c r="AI20" s="377">
        <f t="shared" si="7"/>
        <v>6600</v>
      </c>
      <c r="AK20" s="386">
        <f t="shared" ca="1" si="12"/>
        <v>822.51674107142856</v>
      </c>
      <c r="AL20" s="387">
        <f t="shared" ca="1" si="2"/>
        <v>0</v>
      </c>
      <c r="AM20" s="376"/>
      <c r="AO20" s="384"/>
      <c r="AR20" s="372"/>
      <c r="AS20" s="376">
        <v>10000</v>
      </c>
      <c r="AT20" s="358">
        <v>100</v>
      </c>
      <c r="AU20" s="385">
        <v>38.133333333333297</v>
      </c>
      <c r="AV20" s="358">
        <v>66</v>
      </c>
      <c r="AW20" s="377">
        <f t="shared" si="8"/>
        <v>6600</v>
      </c>
      <c r="AY20" s="386">
        <f t="shared" ca="1" si="13"/>
        <v>822.51674107142856</v>
      </c>
      <c r="AZ20" s="387">
        <f t="shared" ca="1" si="3"/>
        <v>0</v>
      </c>
      <c r="BA20" s="376"/>
      <c r="BC20" s="384"/>
      <c r="BF20" s="372"/>
      <c r="BG20" s="376">
        <v>10000</v>
      </c>
      <c r="BH20" s="358">
        <v>100</v>
      </c>
      <c r="BI20" s="385">
        <v>38.133333333333297</v>
      </c>
      <c r="BJ20" s="358">
        <v>66</v>
      </c>
      <c r="BK20" s="377">
        <f t="shared" si="9"/>
        <v>6600</v>
      </c>
      <c r="BM20" s="386">
        <f t="shared" ca="1" si="14"/>
        <v>822.51674107142856</v>
      </c>
      <c r="BN20" s="387">
        <f t="shared" ca="1" si="4"/>
        <v>0</v>
      </c>
      <c r="BO20" s="376"/>
      <c r="BQ20" s="384"/>
    </row>
    <row r="21" spans="2:69">
      <c r="B21" s="372"/>
      <c r="C21" s="376">
        <v>9000</v>
      </c>
      <c r="D21" s="358">
        <v>100</v>
      </c>
      <c r="E21" s="385">
        <v>39.533333333333303</v>
      </c>
      <c r="F21" s="358">
        <v>64</v>
      </c>
      <c r="G21" s="377">
        <f t="shared" si="5"/>
        <v>5760</v>
      </c>
      <c r="I21" s="386">
        <f t="shared" ca="1" si="10"/>
        <v>822.51674107142856</v>
      </c>
      <c r="J21" s="387">
        <f t="shared" ca="1" si="0"/>
        <v>0</v>
      </c>
      <c r="K21" s="376"/>
      <c r="M21" s="384"/>
      <c r="P21" s="372"/>
      <c r="Q21" s="376">
        <v>9000</v>
      </c>
      <c r="R21" s="358">
        <v>100</v>
      </c>
      <c r="S21" s="385">
        <v>39.533333333333303</v>
      </c>
      <c r="T21" s="358">
        <v>64</v>
      </c>
      <c r="U21" s="377">
        <f t="shared" si="6"/>
        <v>5760</v>
      </c>
      <c r="W21" s="386">
        <f t="shared" ca="1" si="11"/>
        <v>822.51674107142856</v>
      </c>
      <c r="X21" s="387">
        <f t="shared" ca="1" si="1"/>
        <v>0</v>
      </c>
      <c r="Y21" s="376"/>
      <c r="AA21" s="384"/>
      <c r="AD21" s="372"/>
      <c r="AE21" s="376">
        <v>9000</v>
      </c>
      <c r="AF21" s="358">
        <v>100</v>
      </c>
      <c r="AG21" s="385">
        <v>39.533333333333303</v>
      </c>
      <c r="AH21" s="358">
        <v>64</v>
      </c>
      <c r="AI21" s="377">
        <f t="shared" si="7"/>
        <v>5760</v>
      </c>
      <c r="AK21" s="386">
        <f t="shared" ca="1" si="12"/>
        <v>822.51674107142856</v>
      </c>
      <c r="AL21" s="387">
        <f t="shared" ca="1" si="2"/>
        <v>0</v>
      </c>
      <c r="AM21" s="376"/>
      <c r="AO21" s="384"/>
      <c r="AR21" s="372"/>
      <c r="AS21" s="376">
        <v>9000</v>
      </c>
      <c r="AT21" s="358">
        <v>100</v>
      </c>
      <c r="AU21" s="385">
        <v>39.533333333333303</v>
      </c>
      <c r="AV21" s="358">
        <v>64</v>
      </c>
      <c r="AW21" s="377">
        <f t="shared" si="8"/>
        <v>5760</v>
      </c>
      <c r="AY21" s="386">
        <f t="shared" ca="1" si="13"/>
        <v>822.51674107142856</v>
      </c>
      <c r="AZ21" s="387">
        <f t="shared" ca="1" si="3"/>
        <v>0</v>
      </c>
      <c r="BA21" s="376"/>
      <c r="BC21" s="384"/>
      <c r="BF21" s="372"/>
      <c r="BG21" s="376">
        <v>9000</v>
      </c>
      <c r="BH21" s="358">
        <v>100</v>
      </c>
      <c r="BI21" s="385">
        <v>39.533333333333303</v>
      </c>
      <c r="BJ21" s="358">
        <v>64</v>
      </c>
      <c r="BK21" s="377">
        <f t="shared" si="9"/>
        <v>5760</v>
      </c>
      <c r="BM21" s="386">
        <f t="shared" ca="1" si="14"/>
        <v>822.51674107142856</v>
      </c>
      <c r="BN21" s="387">
        <f t="shared" ca="1" si="4"/>
        <v>0</v>
      </c>
      <c r="BO21" s="376"/>
      <c r="BQ21" s="384"/>
    </row>
    <row r="22" spans="2:69">
      <c r="B22" s="372"/>
      <c r="C22" s="376">
        <v>8000</v>
      </c>
      <c r="D22" s="358">
        <v>100</v>
      </c>
      <c r="E22" s="385">
        <v>40.933333333333302</v>
      </c>
      <c r="F22" s="358">
        <v>62</v>
      </c>
      <c r="G22" s="377">
        <f t="shared" si="5"/>
        <v>4960</v>
      </c>
      <c r="I22" s="386">
        <f t="shared" ca="1" si="10"/>
        <v>822.51674107142856</v>
      </c>
      <c r="J22" s="387">
        <f t="shared" ca="1" si="0"/>
        <v>0</v>
      </c>
      <c r="K22" s="376"/>
      <c r="M22" s="384"/>
      <c r="P22" s="372"/>
      <c r="Q22" s="376">
        <v>8000</v>
      </c>
      <c r="R22" s="358">
        <v>100</v>
      </c>
      <c r="S22" s="385">
        <v>40.933333333333302</v>
      </c>
      <c r="T22" s="358">
        <v>62</v>
      </c>
      <c r="U22" s="377">
        <f t="shared" si="6"/>
        <v>4960</v>
      </c>
      <c r="W22" s="386">
        <f t="shared" ca="1" si="11"/>
        <v>822.51674107142856</v>
      </c>
      <c r="X22" s="387">
        <f t="shared" ca="1" si="1"/>
        <v>0</v>
      </c>
      <c r="Y22" s="376"/>
      <c r="AA22" s="384"/>
      <c r="AD22" s="372"/>
      <c r="AE22" s="376">
        <v>8000</v>
      </c>
      <c r="AF22" s="358">
        <v>100</v>
      </c>
      <c r="AG22" s="385">
        <v>40.933333333333302</v>
      </c>
      <c r="AH22" s="358">
        <v>62</v>
      </c>
      <c r="AI22" s="377">
        <f t="shared" si="7"/>
        <v>4960</v>
      </c>
      <c r="AK22" s="386">
        <f t="shared" ca="1" si="12"/>
        <v>822.51674107142856</v>
      </c>
      <c r="AL22" s="387">
        <f t="shared" ca="1" si="2"/>
        <v>0</v>
      </c>
      <c r="AM22" s="376"/>
      <c r="AO22" s="384"/>
      <c r="AR22" s="372"/>
      <c r="AS22" s="376">
        <v>8000</v>
      </c>
      <c r="AT22" s="358">
        <v>100</v>
      </c>
      <c r="AU22" s="385">
        <v>40.933333333333302</v>
      </c>
      <c r="AV22" s="358">
        <v>62</v>
      </c>
      <c r="AW22" s="377">
        <f t="shared" si="8"/>
        <v>4960</v>
      </c>
      <c r="AY22" s="386">
        <f t="shared" ca="1" si="13"/>
        <v>822.51674107142856</v>
      </c>
      <c r="AZ22" s="387">
        <f t="shared" ca="1" si="3"/>
        <v>0</v>
      </c>
      <c r="BA22" s="376"/>
      <c r="BC22" s="384"/>
      <c r="BF22" s="372"/>
      <c r="BG22" s="376">
        <v>8000</v>
      </c>
      <c r="BH22" s="358">
        <v>100</v>
      </c>
      <c r="BI22" s="385">
        <v>40.933333333333302</v>
      </c>
      <c r="BJ22" s="358">
        <v>62</v>
      </c>
      <c r="BK22" s="377">
        <f t="shared" si="9"/>
        <v>4960</v>
      </c>
      <c r="BM22" s="386">
        <f t="shared" ca="1" si="14"/>
        <v>822.51674107142856</v>
      </c>
      <c r="BN22" s="387">
        <f t="shared" ca="1" si="4"/>
        <v>0</v>
      </c>
      <c r="BO22" s="376"/>
      <c r="BQ22" s="384"/>
    </row>
    <row r="23" spans="2:69">
      <c r="B23" s="372"/>
      <c r="C23" s="376">
        <v>7000</v>
      </c>
      <c r="D23" s="358">
        <v>100</v>
      </c>
      <c r="E23" s="385">
        <v>42.3333333333333</v>
      </c>
      <c r="F23" s="358">
        <v>60</v>
      </c>
      <c r="G23" s="377">
        <f t="shared" si="5"/>
        <v>4200</v>
      </c>
      <c r="I23" s="386">
        <f t="shared" ca="1" si="10"/>
        <v>822.51674107142856</v>
      </c>
      <c r="J23" s="387">
        <f t="shared" ca="1" si="0"/>
        <v>0</v>
      </c>
      <c r="K23" s="376"/>
      <c r="M23" s="384"/>
      <c r="P23" s="372"/>
      <c r="Q23" s="376">
        <v>7000</v>
      </c>
      <c r="R23" s="358">
        <v>100</v>
      </c>
      <c r="S23" s="385">
        <v>42.3333333333333</v>
      </c>
      <c r="T23" s="358">
        <v>60</v>
      </c>
      <c r="U23" s="377">
        <f t="shared" si="6"/>
        <v>4200</v>
      </c>
      <c r="W23" s="386">
        <f t="shared" ca="1" si="11"/>
        <v>822.51674107142856</v>
      </c>
      <c r="X23" s="387">
        <f t="shared" ca="1" si="1"/>
        <v>0</v>
      </c>
      <c r="Y23" s="376"/>
      <c r="AA23" s="384"/>
      <c r="AD23" s="372"/>
      <c r="AE23" s="376">
        <v>7000</v>
      </c>
      <c r="AF23" s="358">
        <v>100</v>
      </c>
      <c r="AG23" s="385">
        <v>42.3333333333333</v>
      </c>
      <c r="AH23" s="358">
        <v>60</v>
      </c>
      <c r="AI23" s="377">
        <f t="shared" si="7"/>
        <v>4200</v>
      </c>
      <c r="AK23" s="386">
        <f t="shared" ca="1" si="12"/>
        <v>822.51674107142856</v>
      </c>
      <c r="AL23" s="387">
        <f t="shared" ca="1" si="2"/>
        <v>0</v>
      </c>
      <c r="AM23" s="376"/>
      <c r="AO23" s="384"/>
      <c r="AR23" s="372"/>
      <c r="AS23" s="376">
        <v>7000</v>
      </c>
      <c r="AT23" s="358">
        <v>100</v>
      </c>
      <c r="AU23" s="385">
        <v>42.3333333333333</v>
      </c>
      <c r="AV23" s="358">
        <v>60</v>
      </c>
      <c r="AW23" s="377">
        <f t="shared" si="8"/>
        <v>4200</v>
      </c>
      <c r="AY23" s="386">
        <f t="shared" ca="1" si="13"/>
        <v>822.51674107142856</v>
      </c>
      <c r="AZ23" s="387">
        <f t="shared" ca="1" si="3"/>
        <v>0</v>
      </c>
      <c r="BA23" s="376"/>
      <c r="BC23" s="384"/>
      <c r="BF23" s="372"/>
      <c r="BG23" s="376">
        <v>7000</v>
      </c>
      <c r="BH23" s="358">
        <v>100</v>
      </c>
      <c r="BI23" s="385">
        <v>42.3333333333333</v>
      </c>
      <c r="BJ23" s="358">
        <v>60</v>
      </c>
      <c r="BK23" s="377">
        <f t="shared" si="9"/>
        <v>4200</v>
      </c>
      <c r="BM23" s="386">
        <f t="shared" ca="1" si="14"/>
        <v>822.51674107142856</v>
      </c>
      <c r="BN23" s="387">
        <f t="shared" ca="1" si="4"/>
        <v>0</v>
      </c>
      <c r="BO23" s="376"/>
      <c r="BQ23" s="384"/>
    </row>
    <row r="24" spans="2:69">
      <c r="B24" s="372"/>
      <c r="C24" s="376">
        <v>6000</v>
      </c>
      <c r="D24" s="358">
        <v>100</v>
      </c>
      <c r="E24" s="385">
        <v>43.733333333333299</v>
      </c>
      <c r="F24" s="358">
        <v>58</v>
      </c>
      <c r="G24" s="377">
        <f t="shared" si="5"/>
        <v>3480</v>
      </c>
      <c r="I24" s="386">
        <f t="shared" ca="1" si="10"/>
        <v>822.51674107142856</v>
      </c>
      <c r="J24" s="387">
        <f t="shared" ca="1" si="0"/>
        <v>0</v>
      </c>
      <c r="K24" s="376"/>
      <c r="M24" s="384"/>
      <c r="P24" s="372"/>
      <c r="Q24" s="376">
        <v>6000</v>
      </c>
      <c r="R24" s="358">
        <v>100</v>
      </c>
      <c r="S24" s="385">
        <v>43.733333333333299</v>
      </c>
      <c r="T24" s="358">
        <v>58</v>
      </c>
      <c r="U24" s="377">
        <f t="shared" si="6"/>
        <v>3480</v>
      </c>
      <c r="W24" s="386">
        <f t="shared" ca="1" si="11"/>
        <v>822.51674107142856</v>
      </c>
      <c r="X24" s="387">
        <f t="shared" ca="1" si="1"/>
        <v>0</v>
      </c>
      <c r="Y24" s="376"/>
      <c r="AA24" s="384"/>
      <c r="AD24" s="372"/>
      <c r="AE24" s="376">
        <v>6000</v>
      </c>
      <c r="AF24" s="358">
        <v>100</v>
      </c>
      <c r="AG24" s="385">
        <v>43.733333333333299</v>
      </c>
      <c r="AH24" s="358">
        <v>58</v>
      </c>
      <c r="AI24" s="377">
        <f t="shared" si="7"/>
        <v>3480</v>
      </c>
      <c r="AK24" s="386">
        <f t="shared" ca="1" si="12"/>
        <v>822.51674107142856</v>
      </c>
      <c r="AL24" s="387">
        <f t="shared" ca="1" si="2"/>
        <v>0</v>
      </c>
      <c r="AM24" s="376"/>
      <c r="AO24" s="384"/>
      <c r="AR24" s="372"/>
      <c r="AS24" s="376">
        <v>6000</v>
      </c>
      <c r="AT24" s="358">
        <v>100</v>
      </c>
      <c r="AU24" s="385">
        <v>43.733333333333299</v>
      </c>
      <c r="AV24" s="358">
        <v>58</v>
      </c>
      <c r="AW24" s="377">
        <f t="shared" si="8"/>
        <v>3480</v>
      </c>
      <c r="AY24" s="386">
        <f t="shared" ca="1" si="13"/>
        <v>822.51674107142856</v>
      </c>
      <c r="AZ24" s="387">
        <f t="shared" ca="1" si="3"/>
        <v>0</v>
      </c>
      <c r="BA24" s="376"/>
      <c r="BC24" s="384"/>
      <c r="BF24" s="372"/>
      <c r="BG24" s="376">
        <v>6000</v>
      </c>
      <c r="BH24" s="358">
        <v>100</v>
      </c>
      <c r="BI24" s="385">
        <v>43.733333333333299</v>
      </c>
      <c r="BJ24" s="358">
        <v>58</v>
      </c>
      <c r="BK24" s="377">
        <f t="shared" si="9"/>
        <v>3480</v>
      </c>
      <c r="BM24" s="386">
        <f t="shared" ca="1" si="14"/>
        <v>822.51674107142856</v>
      </c>
      <c r="BN24" s="387">
        <f t="shared" ca="1" si="4"/>
        <v>0</v>
      </c>
      <c r="BO24" s="376"/>
      <c r="BQ24" s="384"/>
    </row>
    <row r="25" spans="2:69">
      <c r="B25" s="372"/>
      <c r="C25" s="376">
        <v>5000</v>
      </c>
      <c r="D25" s="358">
        <v>100</v>
      </c>
      <c r="E25" s="385">
        <v>45.8</v>
      </c>
      <c r="F25" s="358">
        <v>56</v>
      </c>
      <c r="G25" s="377">
        <f t="shared" si="5"/>
        <v>2800</v>
      </c>
      <c r="I25" s="386">
        <f t="shared" ca="1" si="10"/>
        <v>822.51674107142856</v>
      </c>
      <c r="J25" s="387">
        <f t="shared" ca="1" si="0"/>
        <v>0</v>
      </c>
      <c r="K25" s="376"/>
      <c r="M25" s="384"/>
      <c r="P25" s="372"/>
      <c r="Q25" s="376">
        <v>5000</v>
      </c>
      <c r="R25" s="358">
        <v>100</v>
      </c>
      <c r="S25" s="385">
        <v>45.8</v>
      </c>
      <c r="T25" s="358">
        <v>56</v>
      </c>
      <c r="U25" s="377">
        <f t="shared" si="6"/>
        <v>2800</v>
      </c>
      <c r="W25" s="386">
        <f t="shared" ca="1" si="11"/>
        <v>822.51674107142856</v>
      </c>
      <c r="X25" s="387">
        <f t="shared" ca="1" si="1"/>
        <v>0</v>
      </c>
      <c r="Y25" s="376"/>
      <c r="AA25" s="384"/>
      <c r="AD25" s="372"/>
      <c r="AE25" s="376">
        <v>5000</v>
      </c>
      <c r="AF25" s="358">
        <v>100</v>
      </c>
      <c r="AG25" s="385">
        <v>45.8</v>
      </c>
      <c r="AH25" s="358">
        <v>56</v>
      </c>
      <c r="AI25" s="377">
        <f t="shared" si="7"/>
        <v>2800</v>
      </c>
      <c r="AK25" s="386">
        <f t="shared" ca="1" si="12"/>
        <v>822.51674107142856</v>
      </c>
      <c r="AL25" s="387">
        <f t="shared" ca="1" si="2"/>
        <v>0</v>
      </c>
      <c r="AM25" s="376"/>
      <c r="AO25" s="384"/>
      <c r="AR25" s="372"/>
      <c r="AS25" s="376">
        <v>5000</v>
      </c>
      <c r="AT25" s="358">
        <v>100</v>
      </c>
      <c r="AU25" s="385">
        <v>45.8</v>
      </c>
      <c r="AV25" s="358">
        <v>56</v>
      </c>
      <c r="AW25" s="377">
        <f t="shared" si="8"/>
        <v>2800</v>
      </c>
      <c r="AY25" s="386">
        <f t="shared" ca="1" si="13"/>
        <v>822.51674107142856</v>
      </c>
      <c r="AZ25" s="387">
        <f t="shared" ca="1" si="3"/>
        <v>0</v>
      </c>
      <c r="BA25" s="376"/>
      <c r="BC25" s="384"/>
      <c r="BF25" s="372"/>
      <c r="BG25" s="376">
        <v>5000</v>
      </c>
      <c r="BH25" s="358">
        <v>100</v>
      </c>
      <c r="BI25" s="385">
        <v>45.8</v>
      </c>
      <c r="BJ25" s="358">
        <v>56</v>
      </c>
      <c r="BK25" s="377">
        <f t="shared" si="9"/>
        <v>2800</v>
      </c>
      <c r="BM25" s="386">
        <f t="shared" ca="1" si="14"/>
        <v>822.51674107142856</v>
      </c>
      <c r="BN25" s="387">
        <f t="shared" ca="1" si="4"/>
        <v>0</v>
      </c>
      <c r="BO25" s="376"/>
      <c r="BQ25" s="384"/>
    </row>
    <row r="26" spans="2:69">
      <c r="B26" s="372"/>
      <c r="C26" s="376">
        <v>4778</v>
      </c>
      <c r="D26" s="358">
        <v>100</v>
      </c>
      <c r="E26" s="385">
        <v>45.2</v>
      </c>
      <c r="F26" s="358">
        <v>54</v>
      </c>
      <c r="G26" s="377">
        <f t="shared" si="5"/>
        <v>2580.12</v>
      </c>
      <c r="I26" s="386">
        <f t="shared" ca="1" si="10"/>
        <v>822.51674107142856</v>
      </c>
      <c r="J26" s="387">
        <f t="shared" ca="1" si="0"/>
        <v>0</v>
      </c>
      <c r="K26" s="376"/>
      <c r="M26" s="384"/>
      <c r="P26" s="372"/>
      <c r="Q26" s="376">
        <v>4778</v>
      </c>
      <c r="R26" s="358">
        <v>100</v>
      </c>
      <c r="S26" s="385">
        <v>45.2</v>
      </c>
      <c r="T26" s="358">
        <v>54</v>
      </c>
      <c r="U26" s="377">
        <f t="shared" si="6"/>
        <v>2580.12</v>
      </c>
      <c r="W26" s="386">
        <f t="shared" ca="1" si="11"/>
        <v>822.51674107142856</v>
      </c>
      <c r="X26" s="387">
        <f t="shared" ca="1" si="1"/>
        <v>0</v>
      </c>
      <c r="Y26" s="376"/>
      <c r="AA26" s="384"/>
      <c r="AD26" s="372"/>
      <c r="AE26" s="376">
        <v>4778</v>
      </c>
      <c r="AF26" s="358">
        <v>100</v>
      </c>
      <c r="AG26" s="385">
        <v>45.2</v>
      </c>
      <c r="AH26" s="358">
        <v>54</v>
      </c>
      <c r="AI26" s="377">
        <f t="shared" si="7"/>
        <v>2580.12</v>
      </c>
      <c r="AK26" s="386">
        <f t="shared" ca="1" si="12"/>
        <v>822.51674107142856</v>
      </c>
      <c r="AL26" s="387">
        <f t="shared" ca="1" si="2"/>
        <v>0</v>
      </c>
      <c r="AM26" s="376"/>
      <c r="AO26" s="384"/>
      <c r="AR26" s="372"/>
      <c r="AS26" s="376">
        <v>4778</v>
      </c>
      <c r="AT26" s="358">
        <v>100</v>
      </c>
      <c r="AU26" s="385">
        <v>45.2</v>
      </c>
      <c r="AV26" s="358">
        <v>54</v>
      </c>
      <c r="AW26" s="377">
        <f t="shared" si="8"/>
        <v>2580.12</v>
      </c>
      <c r="AY26" s="386">
        <f t="shared" ca="1" si="13"/>
        <v>822.51674107142856</v>
      </c>
      <c r="AZ26" s="387">
        <f t="shared" ca="1" si="3"/>
        <v>0</v>
      </c>
      <c r="BA26" s="376"/>
      <c r="BC26" s="384"/>
      <c r="BF26" s="372"/>
      <c r="BG26" s="376">
        <v>4778</v>
      </c>
      <c r="BH26" s="358">
        <v>100</v>
      </c>
      <c r="BI26" s="385">
        <v>45.2</v>
      </c>
      <c r="BJ26" s="358">
        <v>54</v>
      </c>
      <c r="BK26" s="377">
        <f t="shared" si="9"/>
        <v>2580.12</v>
      </c>
      <c r="BM26" s="386">
        <f t="shared" ca="1" si="14"/>
        <v>822.51674107142856</v>
      </c>
      <c r="BN26" s="387">
        <f t="shared" ca="1" si="4"/>
        <v>0</v>
      </c>
      <c r="BO26" s="376"/>
      <c r="BQ26" s="384"/>
    </row>
    <row r="27" spans="2:69">
      <c r="B27" s="372"/>
      <c r="C27" s="376">
        <v>3389</v>
      </c>
      <c r="D27" s="358">
        <v>100</v>
      </c>
      <c r="E27" s="385">
        <v>48.6</v>
      </c>
      <c r="F27" s="358">
        <v>52</v>
      </c>
      <c r="G27" s="377">
        <f t="shared" si="5"/>
        <v>1762.28</v>
      </c>
      <c r="I27" s="386">
        <f t="shared" ca="1" si="10"/>
        <v>822.51674107142856</v>
      </c>
      <c r="J27" s="387">
        <f t="shared" ca="1" si="0"/>
        <v>0</v>
      </c>
      <c r="K27" s="376"/>
      <c r="M27" s="384"/>
      <c r="P27" s="372"/>
      <c r="Q27" s="376">
        <v>3389</v>
      </c>
      <c r="R27" s="358">
        <v>100</v>
      </c>
      <c r="S27" s="385">
        <v>48.6</v>
      </c>
      <c r="T27" s="358">
        <v>52</v>
      </c>
      <c r="U27" s="377">
        <f t="shared" si="6"/>
        <v>1762.28</v>
      </c>
      <c r="W27" s="386">
        <f t="shared" ca="1" si="11"/>
        <v>822.51674107142856</v>
      </c>
      <c r="X27" s="387">
        <f t="shared" ca="1" si="1"/>
        <v>0</v>
      </c>
      <c r="Y27" s="376"/>
      <c r="AA27" s="384"/>
      <c r="AD27" s="372"/>
      <c r="AE27" s="376">
        <v>3389</v>
      </c>
      <c r="AF27" s="358">
        <v>100</v>
      </c>
      <c r="AG27" s="385">
        <v>48.6</v>
      </c>
      <c r="AH27" s="358">
        <v>52</v>
      </c>
      <c r="AI27" s="377">
        <f t="shared" si="7"/>
        <v>1762.28</v>
      </c>
      <c r="AK27" s="386">
        <f t="shared" ca="1" si="12"/>
        <v>822.51674107142856</v>
      </c>
      <c r="AL27" s="387">
        <f t="shared" ca="1" si="2"/>
        <v>0</v>
      </c>
      <c r="AM27" s="376"/>
      <c r="AO27" s="384"/>
      <c r="AR27" s="372"/>
      <c r="AS27" s="376">
        <v>3389</v>
      </c>
      <c r="AT27" s="358">
        <v>100</v>
      </c>
      <c r="AU27" s="385">
        <v>48.6</v>
      </c>
      <c r="AV27" s="358">
        <v>52</v>
      </c>
      <c r="AW27" s="377">
        <f t="shared" si="8"/>
        <v>1762.28</v>
      </c>
      <c r="AY27" s="386">
        <f t="shared" ca="1" si="13"/>
        <v>822.51674107142856</v>
      </c>
      <c r="AZ27" s="387">
        <f t="shared" ca="1" si="3"/>
        <v>0</v>
      </c>
      <c r="BA27" s="376"/>
      <c r="BC27" s="384"/>
      <c r="BF27" s="372"/>
      <c r="BG27" s="376">
        <v>3389</v>
      </c>
      <c r="BH27" s="358">
        <v>100</v>
      </c>
      <c r="BI27" s="385">
        <v>48.6</v>
      </c>
      <c r="BJ27" s="358">
        <v>52</v>
      </c>
      <c r="BK27" s="377">
        <f t="shared" si="9"/>
        <v>1762.28</v>
      </c>
      <c r="BM27" s="386">
        <f t="shared" ca="1" si="14"/>
        <v>822.51674107142856</v>
      </c>
      <c r="BN27" s="387">
        <f t="shared" ca="1" si="4"/>
        <v>0</v>
      </c>
      <c r="BO27" s="376"/>
      <c r="BQ27" s="384"/>
    </row>
    <row r="28" spans="2:69">
      <c r="B28" s="372" t="s">
        <v>7</v>
      </c>
      <c r="C28" s="373">
        <v>2000</v>
      </c>
      <c r="D28" s="358">
        <v>100</v>
      </c>
      <c r="E28" s="375">
        <v>50</v>
      </c>
      <c r="F28" s="358">
        <v>50</v>
      </c>
      <c r="G28" s="377">
        <f t="shared" si="5"/>
        <v>1000</v>
      </c>
      <c r="I28" s="386">
        <f t="shared" ca="1" si="10"/>
        <v>822.51674107142856</v>
      </c>
      <c r="J28" s="387">
        <f t="shared" ca="1" si="0"/>
        <v>50</v>
      </c>
      <c r="K28" s="376"/>
      <c r="M28" s="384"/>
      <c r="P28" s="372" t="s">
        <v>7</v>
      </c>
      <c r="Q28" s="373">
        <v>2000</v>
      </c>
      <c r="R28" s="358">
        <v>100</v>
      </c>
      <c r="S28" s="375">
        <v>50</v>
      </c>
      <c r="T28" s="358">
        <v>50</v>
      </c>
      <c r="U28" s="377">
        <f t="shared" si="6"/>
        <v>1000</v>
      </c>
      <c r="W28" s="386">
        <f t="shared" ca="1" si="11"/>
        <v>822.51674107142856</v>
      </c>
      <c r="X28" s="387">
        <f t="shared" ca="1" si="1"/>
        <v>50</v>
      </c>
      <c r="Y28" s="376"/>
      <c r="AA28" s="384"/>
      <c r="AD28" s="372" t="s">
        <v>7</v>
      </c>
      <c r="AE28" s="373">
        <v>2000</v>
      </c>
      <c r="AF28" s="358">
        <v>100</v>
      </c>
      <c r="AG28" s="375">
        <v>50</v>
      </c>
      <c r="AH28" s="358">
        <v>50</v>
      </c>
      <c r="AI28" s="377">
        <f t="shared" si="7"/>
        <v>1000</v>
      </c>
      <c r="AK28" s="386">
        <f t="shared" ca="1" si="12"/>
        <v>822.51674107142856</v>
      </c>
      <c r="AL28" s="387">
        <f t="shared" ca="1" si="2"/>
        <v>50</v>
      </c>
      <c r="AM28" s="376"/>
      <c r="AO28" s="384"/>
      <c r="AR28" s="372" t="s">
        <v>7</v>
      </c>
      <c r="AS28" s="373">
        <v>2000</v>
      </c>
      <c r="AT28" s="358">
        <v>100</v>
      </c>
      <c r="AU28" s="375">
        <v>50</v>
      </c>
      <c r="AV28" s="358">
        <v>50</v>
      </c>
      <c r="AW28" s="377">
        <f t="shared" si="8"/>
        <v>1000</v>
      </c>
      <c r="AY28" s="386">
        <f t="shared" ca="1" si="13"/>
        <v>822.51674107142856</v>
      </c>
      <c r="AZ28" s="387">
        <f t="shared" ca="1" si="3"/>
        <v>50</v>
      </c>
      <c r="BA28" s="376"/>
      <c r="BC28" s="384"/>
      <c r="BF28" s="372" t="s">
        <v>7</v>
      </c>
      <c r="BG28" s="373">
        <v>2000</v>
      </c>
      <c r="BH28" s="358">
        <v>100</v>
      </c>
      <c r="BI28" s="375">
        <v>50</v>
      </c>
      <c r="BJ28" s="358">
        <v>50</v>
      </c>
      <c r="BK28" s="377">
        <f t="shared" si="9"/>
        <v>1000</v>
      </c>
      <c r="BM28" s="386">
        <f t="shared" ca="1" si="14"/>
        <v>822.51674107142856</v>
      </c>
      <c r="BN28" s="387">
        <f t="shared" ca="1" si="4"/>
        <v>50</v>
      </c>
      <c r="BO28" s="376"/>
      <c r="BQ28" s="384"/>
    </row>
    <row r="29" spans="2:69">
      <c r="B29" s="372"/>
      <c r="C29" s="376">
        <v>1000</v>
      </c>
      <c r="D29" s="358">
        <v>100</v>
      </c>
      <c r="E29" s="385">
        <v>50</v>
      </c>
      <c r="F29" s="358">
        <v>50</v>
      </c>
      <c r="G29" s="377">
        <f t="shared" si="5"/>
        <v>500</v>
      </c>
      <c r="I29" s="386">
        <f t="shared" ca="1" si="10"/>
        <v>822.51674107142856</v>
      </c>
      <c r="J29" s="387">
        <f t="shared" ca="1" si="0"/>
        <v>0</v>
      </c>
      <c r="K29" s="376"/>
      <c r="M29" s="384"/>
      <c r="P29" s="372"/>
      <c r="Q29" s="376">
        <v>1000</v>
      </c>
      <c r="R29" s="358">
        <v>100</v>
      </c>
      <c r="S29" s="385">
        <v>50</v>
      </c>
      <c r="T29" s="358">
        <v>50</v>
      </c>
      <c r="U29" s="377">
        <f t="shared" si="6"/>
        <v>500</v>
      </c>
      <c r="W29" s="386">
        <f t="shared" ca="1" si="11"/>
        <v>822.51674107142856</v>
      </c>
      <c r="X29" s="387">
        <f t="shared" ca="1" si="1"/>
        <v>0</v>
      </c>
      <c r="Y29" s="376"/>
      <c r="AA29" s="384"/>
      <c r="AD29" s="372"/>
      <c r="AE29" s="376">
        <v>1000</v>
      </c>
      <c r="AF29" s="358">
        <v>100</v>
      </c>
      <c r="AG29" s="385">
        <v>50</v>
      </c>
      <c r="AH29" s="358">
        <v>50</v>
      </c>
      <c r="AI29" s="377">
        <f t="shared" si="7"/>
        <v>500</v>
      </c>
      <c r="AK29" s="386">
        <f t="shared" ca="1" si="12"/>
        <v>822.51674107142856</v>
      </c>
      <c r="AL29" s="387">
        <f t="shared" ca="1" si="2"/>
        <v>0</v>
      </c>
      <c r="AM29" s="376"/>
      <c r="AO29" s="384"/>
      <c r="AR29" s="372"/>
      <c r="AS29" s="376">
        <v>1000</v>
      </c>
      <c r="AT29" s="358">
        <v>100</v>
      </c>
      <c r="AU29" s="385">
        <v>50</v>
      </c>
      <c r="AV29" s="358">
        <v>50</v>
      </c>
      <c r="AW29" s="377">
        <f t="shared" si="8"/>
        <v>500</v>
      </c>
      <c r="AY29" s="386">
        <f t="shared" ca="1" si="13"/>
        <v>822.51674107142856</v>
      </c>
      <c r="AZ29" s="387">
        <f t="shared" ca="1" si="3"/>
        <v>0</v>
      </c>
      <c r="BA29" s="376"/>
      <c r="BC29" s="384"/>
      <c r="BF29" s="372"/>
      <c r="BG29" s="376">
        <v>1000</v>
      </c>
      <c r="BH29" s="358">
        <v>100</v>
      </c>
      <c r="BI29" s="385">
        <v>50</v>
      </c>
      <c r="BJ29" s="358">
        <v>50</v>
      </c>
      <c r="BK29" s="377">
        <f t="shared" si="9"/>
        <v>500</v>
      </c>
      <c r="BM29" s="386">
        <f t="shared" ca="1" si="14"/>
        <v>822.51674107142856</v>
      </c>
      <c r="BN29" s="387">
        <f t="shared" ca="1" si="4"/>
        <v>0</v>
      </c>
      <c r="BO29" s="376"/>
      <c r="BQ29" s="384"/>
    </row>
    <row r="30" spans="2:69">
      <c r="B30" s="388"/>
      <c r="C30" s="389">
        <v>1</v>
      </c>
      <c r="D30" s="390">
        <v>100</v>
      </c>
      <c r="E30" s="391">
        <v>50</v>
      </c>
      <c r="F30" s="390">
        <v>50</v>
      </c>
      <c r="G30" s="392">
        <f t="shared" si="5"/>
        <v>0.5</v>
      </c>
      <c r="H30" s="390"/>
      <c r="I30" s="393">
        <f t="shared" ca="1" si="10"/>
        <v>822.51674107142856</v>
      </c>
      <c r="J30" s="394">
        <f t="shared" ca="1" si="0"/>
        <v>0</v>
      </c>
      <c r="K30" s="389"/>
      <c r="L30" s="390"/>
      <c r="M30" s="395"/>
      <c r="P30" s="388"/>
      <c r="Q30" s="389">
        <v>1</v>
      </c>
      <c r="R30" s="390">
        <v>100</v>
      </c>
      <c r="S30" s="391">
        <v>50</v>
      </c>
      <c r="T30" s="390">
        <v>50</v>
      </c>
      <c r="U30" s="392">
        <f t="shared" si="6"/>
        <v>0.5</v>
      </c>
      <c r="V30" s="390"/>
      <c r="W30" s="393">
        <f t="shared" ca="1" si="11"/>
        <v>822.51674107142856</v>
      </c>
      <c r="X30" s="394">
        <f t="shared" ca="1" si="1"/>
        <v>0</v>
      </c>
      <c r="Y30" s="389"/>
      <c r="Z30" s="390"/>
      <c r="AA30" s="395"/>
      <c r="AD30" s="388"/>
      <c r="AE30" s="389">
        <v>1</v>
      </c>
      <c r="AF30" s="390">
        <v>100</v>
      </c>
      <c r="AG30" s="391">
        <v>50</v>
      </c>
      <c r="AH30" s="390">
        <v>50</v>
      </c>
      <c r="AI30" s="392">
        <f t="shared" si="7"/>
        <v>0.5</v>
      </c>
      <c r="AJ30" s="390"/>
      <c r="AK30" s="393">
        <f t="shared" ca="1" si="12"/>
        <v>822.51674107142856</v>
      </c>
      <c r="AL30" s="394">
        <f t="shared" ca="1" si="2"/>
        <v>0</v>
      </c>
      <c r="AM30" s="389"/>
      <c r="AN30" s="390"/>
      <c r="AO30" s="395"/>
      <c r="AR30" s="388"/>
      <c r="AS30" s="389">
        <v>1</v>
      </c>
      <c r="AT30" s="390">
        <v>100</v>
      </c>
      <c r="AU30" s="391">
        <v>50</v>
      </c>
      <c r="AV30" s="390">
        <v>50</v>
      </c>
      <c r="AW30" s="392">
        <f t="shared" si="8"/>
        <v>0.5</v>
      </c>
      <c r="AX30" s="390"/>
      <c r="AY30" s="393">
        <f t="shared" ca="1" si="13"/>
        <v>822.51674107142856</v>
      </c>
      <c r="AZ30" s="394">
        <f t="shared" ca="1" si="3"/>
        <v>0</v>
      </c>
      <c r="BA30" s="389"/>
      <c r="BB30" s="390"/>
      <c r="BC30" s="395"/>
      <c r="BF30" s="388"/>
      <c r="BG30" s="389">
        <v>1</v>
      </c>
      <c r="BH30" s="390">
        <v>100</v>
      </c>
      <c r="BI30" s="391">
        <v>50</v>
      </c>
      <c r="BJ30" s="390">
        <v>50</v>
      </c>
      <c r="BK30" s="392">
        <f t="shared" si="9"/>
        <v>0.5</v>
      </c>
      <c r="BL30" s="390"/>
      <c r="BM30" s="393">
        <f t="shared" ca="1" si="14"/>
        <v>822.51674107142856</v>
      </c>
      <c r="BN30" s="394">
        <f t="shared" ca="1" si="4"/>
        <v>0</v>
      </c>
      <c r="BO30" s="389"/>
      <c r="BP30" s="390"/>
      <c r="BQ30" s="395"/>
    </row>
    <row r="31" spans="2:69">
      <c r="C31" s="357"/>
      <c r="G31" s="359"/>
      <c r="H31" s="360"/>
      <c r="I31" s="359"/>
      <c r="J31" s="360"/>
      <c r="K31" s="357"/>
      <c r="Q31" s="357"/>
      <c r="U31" s="359"/>
      <c r="V31" s="360"/>
      <c r="W31" s="359"/>
      <c r="X31" s="360"/>
      <c r="Y31" s="357"/>
      <c r="AE31" s="357"/>
      <c r="AI31" s="359"/>
      <c r="AJ31" s="360"/>
      <c r="AK31" s="359"/>
      <c r="AL31" s="360"/>
      <c r="AM31" s="357"/>
      <c r="AS31" s="357"/>
      <c r="AW31" s="359"/>
      <c r="AX31" s="360"/>
      <c r="AY31" s="359"/>
      <c r="AZ31" s="360"/>
      <c r="BA31" s="357"/>
      <c r="BG31" s="357"/>
      <c r="BK31" s="359"/>
      <c r="BL31" s="360"/>
      <c r="BM31" s="359"/>
      <c r="BN31" s="360"/>
      <c r="BO31" s="357"/>
    </row>
    <row r="32" spans="2:69">
      <c r="C32" s="357"/>
      <c r="G32" s="357"/>
      <c r="K32" s="357"/>
      <c r="Q32" s="357"/>
      <c r="U32" s="357"/>
      <c r="Y32" s="357"/>
      <c r="AE32" s="357"/>
      <c r="AI32" s="357"/>
      <c r="AM32" s="357"/>
      <c r="AS32" s="357"/>
      <c r="AW32" s="357"/>
      <c r="BA32" s="357"/>
      <c r="BG32" s="357"/>
      <c r="BK32" s="357"/>
      <c r="BO32" s="357"/>
    </row>
    <row r="33" spans="3:67">
      <c r="C33" s="357"/>
      <c r="G33" s="357"/>
      <c r="K33" s="357"/>
      <c r="Q33" s="357"/>
      <c r="U33" s="357"/>
      <c r="Y33" s="357"/>
      <c r="AE33" s="357"/>
      <c r="AI33" s="357"/>
      <c r="AM33" s="357"/>
      <c r="AS33" s="357"/>
      <c r="AW33" s="357"/>
      <c r="BA33" s="357"/>
      <c r="BG33" s="357"/>
      <c r="BK33" s="357"/>
      <c r="BO33" s="357"/>
    </row>
  </sheetData>
  <sheetProtection sheet="1" objects="1" scenarios="1" selectLockedCells="1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H71"/>
  <sheetViews>
    <sheetView workbookViewId="0">
      <selection activeCell="C13" sqref="C13"/>
    </sheetView>
  </sheetViews>
  <sheetFormatPr baseColWidth="10" defaultRowHeight="17.25" customHeight="1"/>
  <cols>
    <col min="1" max="1" width="0.7109375" style="2" customWidth="1"/>
    <col min="2" max="2" width="11.42578125" style="2" customWidth="1"/>
    <col min="3" max="5" width="6.140625" style="2" customWidth="1"/>
    <col min="6" max="6" width="3.28515625" style="2" customWidth="1"/>
    <col min="7" max="7" width="18.5703125" style="2" customWidth="1"/>
    <col min="8" max="10" width="9.85546875" style="2" customWidth="1"/>
    <col min="11" max="11" width="3.42578125" style="2" customWidth="1"/>
    <col min="12" max="13" width="11.42578125" style="2" hidden="1" customWidth="1"/>
    <col min="14" max="14" width="11.42578125" style="2" customWidth="1"/>
    <col min="15" max="17" width="6.140625" style="2" customWidth="1"/>
    <col min="18" max="18" width="3.28515625" style="2" customWidth="1"/>
    <col min="19" max="19" width="18.5703125" style="2" customWidth="1"/>
    <col min="20" max="22" width="9.85546875" style="2" customWidth="1"/>
    <col min="23" max="24" width="10.28515625" style="2" hidden="1" customWidth="1"/>
    <col min="25" max="25" width="3.42578125" style="2" customWidth="1"/>
    <col min="26" max="26" width="11.42578125" style="2" customWidth="1"/>
    <col min="27" max="29" width="6.140625" style="2" customWidth="1"/>
    <col min="30" max="30" width="3.28515625" style="2" customWidth="1"/>
    <col min="31" max="31" width="18.5703125" style="2" customWidth="1"/>
    <col min="32" max="34" width="9.85546875" style="2" customWidth="1"/>
    <col min="35" max="36" width="10.28515625" style="2" hidden="1" customWidth="1"/>
    <col min="37" max="37" width="3.42578125" style="2" customWidth="1"/>
    <col min="38" max="38" width="11.42578125" style="2" customWidth="1"/>
    <col min="39" max="41" width="6.140625" style="2" customWidth="1"/>
    <col min="42" max="42" width="3.28515625" style="2" customWidth="1"/>
    <col min="43" max="43" width="18.5703125" style="2" customWidth="1"/>
    <col min="44" max="46" width="9.85546875" style="2" customWidth="1"/>
    <col min="47" max="48" width="10.28515625" style="2" hidden="1" customWidth="1"/>
    <col min="49" max="49" width="3.42578125" style="2" customWidth="1"/>
    <col min="50" max="50" width="11.42578125" style="2" customWidth="1"/>
    <col min="51" max="53" width="6.140625" style="2" customWidth="1"/>
    <col min="54" max="54" width="3.28515625" style="2" customWidth="1"/>
    <col min="55" max="55" width="18.5703125" style="2" customWidth="1"/>
    <col min="56" max="58" width="9.85546875" style="2" customWidth="1"/>
    <col min="59" max="60" width="10.28515625" style="2" hidden="1" customWidth="1"/>
    <col min="61" max="16384" width="11.42578125" style="2"/>
  </cols>
  <sheetData>
    <row r="1" spans="2:60" ht="17.25" customHeight="1">
      <c r="B1" s="426" t="s">
        <v>215</v>
      </c>
      <c r="C1" s="427"/>
      <c r="D1" s="427"/>
      <c r="E1" s="427"/>
      <c r="F1" s="427"/>
      <c r="G1" s="427"/>
      <c r="H1" s="427"/>
      <c r="I1" s="427"/>
      <c r="J1" s="428"/>
      <c r="K1" s="150"/>
      <c r="N1" s="426" t="s">
        <v>218</v>
      </c>
      <c r="O1" s="427"/>
      <c r="P1" s="427"/>
      <c r="Q1" s="427"/>
      <c r="R1" s="427"/>
      <c r="S1" s="427"/>
      <c r="T1" s="427"/>
      <c r="U1" s="427"/>
      <c r="V1" s="428"/>
      <c r="W1" s="150"/>
      <c r="X1" s="150"/>
      <c r="Y1" s="150"/>
      <c r="Z1" s="426" t="s">
        <v>219</v>
      </c>
      <c r="AA1" s="427"/>
      <c r="AB1" s="427"/>
      <c r="AC1" s="427"/>
      <c r="AD1" s="427"/>
      <c r="AE1" s="427"/>
      <c r="AF1" s="427"/>
      <c r="AG1" s="427"/>
      <c r="AH1" s="428"/>
      <c r="AI1" s="150"/>
      <c r="AJ1" s="150"/>
      <c r="AK1" s="150"/>
      <c r="AL1" s="426" t="s">
        <v>220</v>
      </c>
      <c r="AM1" s="427"/>
      <c r="AN1" s="427"/>
      <c r="AO1" s="427"/>
      <c r="AP1" s="427"/>
      <c r="AQ1" s="427"/>
      <c r="AR1" s="427"/>
      <c r="AS1" s="427"/>
      <c r="AT1" s="428"/>
      <c r="AU1" s="150"/>
      <c r="AV1" s="150"/>
      <c r="AW1" s="150"/>
      <c r="AX1" s="426" t="s">
        <v>221</v>
      </c>
      <c r="AY1" s="427"/>
      <c r="AZ1" s="427"/>
      <c r="BA1" s="427"/>
      <c r="BB1" s="427"/>
      <c r="BC1" s="427"/>
      <c r="BD1" s="427"/>
      <c r="BE1" s="427"/>
      <c r="BF1" s="428"/>
      <c r="BG1" s="150"/>
      <c r="BH1" s="150"/>
    </row>
    <row r="2" spans="2:60" ht="17.25" customHeight="1">
      <c r="B2" s="311" t="s">
        <v>11</v>
      </c>
      <c r="C2" s="263">
        <f>mycut!D19</f>
        <v>250</v>
      </c>
      <c r="D2" s="245"/>
      <c r="E2" s="245"/>
      <c r="F2" s="245"/>
      <c r="G2" s="263" t="s">
        <v>127</v>
      </c>
      <c r="H2" s="263" t="str">
        <f>mycut!G19</f>
        <v>EB-Welle 4 mm</v>
      </c>
      <c r="I2" s="245"/>
      <c r="J2" s="312"/>
      <c r="N2" s="311" t="s">
        <v>11</v>
      </c>
      <c r="O2" s="263">
        <f t="shared" ref="O2:O7" si="0">C2</f>
        <v>250</v>
      </c>
      <c r="P2" s="245"/>
      <c r="Q2" s="245"/>
      <c r="R2" s="245"/>
      <c r="S2" s="263" t="s">
        <v>127</v>
      </c>
      <c r="T2" s="263" t="str">
        <f t="shared" ref="T2:T8" si="1">H2</f>
        <v>EB-Welle 4 mm</v>
      </c>
      <c r="U2" s="245"/>
      <c r="V2" s="312"/>
      <c r="W2" s="59"/>
      <c r="X2" s="59"/>
      <c r="Z2" s="311" t="s">
        <v>11</v>
      </c>
      <c r="AA2" s="263">
        <f t="shared" ref="AA2:AA7" si="2">O2</f>
        <v>250</v>
      </c>
      <c r="AB2" s="245"/>
      <c r="AC2" s="245"/>
      <c r="AD2" s="245"/>
      <c r="AE2" s="263" t="s">
        <v>127</v>
      </c>
      <c r="AF2" s="263" t="str">
        <f t="shared" ref="AF2:AF8" si="3">T2</f>
        <v>EB-Welle 4 mm</v>
      </c>
      <c r="AG2" s="245"/>
      <c r="AH2" s="312"/>
      <c r="AI2" s="59"/>
      <c r="AJ2" s="59"/>
      <c r="AL2" s="311" t="s">
        <v>11</v>
      </c>
      <c r="AM2" s="263">
        <f t="shared" ref="AM2:AM7" si="4">AA2</f>
        <v>250</v>
      </c>
      <c r="AN2" s="245"/>
      <c r="AO2" s="245"/>
      <c r="AP2" s="245"/>
      <c r="AQ2" s="263" t="s">
        <v>127</v>
      </c>
      <c r="AR2" s="263" t="str">
        <f t="shared" ref="AR2:AR8" si="5">AF2</f>
        <v>EB-Welle 4 mm</v>
      </c>
      <c r="AS2" s="245"/>
      <c r="AT2" s="312"/>
      <c r="AU2" s="59"/>
      <c r="AV2" s="59"/>
      <c r="AX2" s="311" t="s">
        <v>11</v>
      </c>
      <c r="AY2" s="263">
        <f t="shared" ref="AY2:AY7" si="6">AM2</f>
        <v>250</v>
      </c>
      <c r="AZ2" s="245"/>
      <c r="BA2" s="245"/>
      <c r="BB2" s="245"/>
      <c r="BC2" s="263" t="s">
        <v>127</v>
      </c>
      <c r="BD2" s="263" t="str">
        <f t="shared" ref="BD2:BD8" si="7">AR2</f>
        <v>EB-Welle 4 mm</v>
      </c>
      <c r="BE2" s="245"/>
      <c r="BF2" s="312"/>
      <c r="BG2" s="59"/>
      <c r="BH2" s="59"/>
    </row>
    <row r="3" spans="2:60" ht="17.25" customHeight="1">
      <c r="B3" s="313" t="s">
        <v>9</v>
      </c>
      <c r="C3" s="152">
        <f>mycut!D21</f>
        <v>175</v>
      </c>
      <c r="D3" s="59"/>
      <c r="E3" s="59"/>
      <c r="F3" s="59"/>
      <c r="G3" s="152" t="s">
        <v>166</v>
      </c>
      <c r="H3" s="152" t="str">
        <f>mycut!G21</f>
        <v>braun</v>
      </c>
      <c r="I3" s="59"/>
      <c r="J3" s="314"/>
      <c r="N3" s="313" t="s">
        <v>9</v>
      </c>
      <c r="O3" s="152">
        <f t="shared" si="0"/>
        <v>175</v>
      </c>
      <c r="P3" s="59"/>
      <c r="Q3" s="59"/>
      <c r="R3" s="59"/>
      <c r="S3" s="152" t="s">
        <v>166</v>
      </c>
      <c r="T3" s="152" t="str">
        <f t="shared" si="1"/>
        <v>braun</v>
      </c>
      <c r="U3" s="59"/>
      <c r="V3" s="314"/>
      <c r="W3" s="59"/>
      <c r="X3" s="59"/>
      <c r="Z3" s="313" t="s">
        <v>9</v>
      </c>
      <c r="AA3" s="152">
        <f t="shared" si="2"/>
        <v>175</v>
      </c>
      <c r="AB3" s="59"/>
      <c r="AC3" s="59"/>
      <c r="AD3" s="59"/>
      <c r="AE3" s="152" t="s">
        <v>166</v>
      </c>
      <c r="AF3" s="152" t="str">
        <f t="shared" si="3"/>
        <v>braun</v>
      </c>
      <c r="AG3" s="59"/>
      <c r="AH3" s="314"/>
      <c r="AI3" s="59"/>
      <c r="AJ3" s="59"/>
      <c r="AL3" s="313" t="s">
        <v>9</v>
      </c>
      <c r="AM3" s="152">
        <f t="shared" si="4"/>
        <v>175</v>
      </c>
      <c r="AN3" s="59"/>
      <c r="AO3" s="59"/>
      <c r="AP3" s="59"/>
      <c r="AQ3" s="152" t="s">
        <v>166</v>
      </c>
      <c r="AR3" s="152" t="str">
        <f t="shared" si="5"/>
        <v>braun</v>
      </c>
      <c r="AS3" s="59"/>
      <c r="AT3" s="314"/>
      <c r="AU3" s="59"/>
      <c r="AV3" s="59"/>
      <c r="AX3" s="313" t="s">
        <v>9</v>
      </c>
      <c r="AY3" s="152">
        <f t="shared" si="6"/>
        <v>175</v>
      </c>
      <c r="AZ3" s="59"/>
      <c r="BA3" s="59"/>
      <c r="BB3" s="59"/>
      <c r="BC3" s="152" t="s">
        <v>166</v>
      </c>
      <c r="BD3" s="152" t="str">
        <f t="shared" si="7"/>
        <v>braun</v>
      </c>
      <c r="BE3" s="59"/>
      <c r="BF3" s="314"/>
      <c r="BG3" s="59"/>
      <c r="BH3" s="59"/>
    </row>
    <row r="4" spans="2:60" ht="17.25" customHeight="1">
      <c r="B4" s="313" t="s">
        <v>112</v>
      </c>
      <c r="C4" s="152">
        <f>mycut!D25</f>
        <v>5</v>
      </c>
      <c r="D4" s="59"/>
      <c r="E4" s="59"/>
      <c r="F4" s="59"/>
      <c r="G4" s="152" t="s">
        <v>302</v>
      </c>
      <c r="H4" s="424">
        <f>mycut!G23</f>
        <v>0</v>
      </c>
      <c r="I4" s="424"/>
      <c r="J4" s="314"/>
      <c r="N4" s="313" t="s">
        <v>112</v>
      </c>
      <c r="O4" s="152">
        <f t="shared" si="0"/>
        <v>5</v>
      </c>
      <c r="P4" s="59"/>
      <c r="Q4" s="59"/>
      <c r="R4" s="59"/>
      <c r="S4" s="152" t="s">
        <v>302</v>
      </c>
      <c r="T4" s="424">
        <f t="shared" si="1"/>
        <v>0</v>
      </c>
      <c r="U4" s="424"/>
      <c r="V4" s="314"/>
      <c r="W4" s="59"/>
      <c r="X4" s="59"/>
      <c r="Z4" s="313" t="s">
        <v>112</v>
      </c>
      <c r="AA4" s="152">
        <f t="shared" si="2"/>
        <v>5</v>
      </c>
      <c r="AB4" s="59"/>
      <c r="AC4" s="59"/>
      <c r="AD4" s="59"/>
      <c r="AE4" s="152" t="s">
        <v>302</v>
      </c>
      <c r="AF4" s="424">
        <f t="shared" si="3"/>
        <v>0</v>
      </c>
      <c r="AG4" s="424"/>
      <c r="AH4" s="314"/>
      <c r="AI4" s="59"/>
      <c r="AJ4" s="59"/>
      <c r="AL4" s="313" t="s">
        <v>112</v>
      </c>
      <c r="AM4" s="152">
        <f t="shared" si="4"/>
        <v>5</v>
      </c>
      <c r="AN4" s="59"/>
      <c r="AO4" s="59"/>
      <c r="AP4" s="59"/>
      <c r="AQ4" s="152" t="s">
        <v>302</v>
      </c>
      <c r="AR4" s="424">
        <f t="shared" si="5"/>
        <v>0</v>
      </c>
      <c r="AS4" s="424"/>
      <c r="AT4" s="314"/>
      <c r="AU4" s="59"/>
      <c r="AV4" s="59"/>
      <c r="AX4" s="313" t="s">
        <v>112</v>
      </c>
      <c r="AY4" s="152">
        <f t="shared" si="6"/>
        <v>5</v>
      </c>
      <c r="AZ4" s="59"/>
      <c r="BA4" s="59"/>
      <c r="BB4" s="59"/>
      <c r="BC4" s="152" t="s">
        <v>302</v>
      </c>
      <c r="BD4" s="424">
        <f t="shared" si="7"/>
        <v>0</v>
      </c>
      <c r="BE4" s="424"/>
      <c r="BF4" s="314"/>
      <c r="BG4" s="59"/>
      <c r="BH4" s="59"/>
    </row>
    <row r="5" spans="2:60" ht="17.25" customHeight="1">
      <c r="B5" s="313" t="s">
        <v>113</v>
      </c>
      <c r="C5" s="152">
        <f>mycut!D27</f>
        <v>500</v>
      </c>
      <c r="D5" s="59"/>
      <c r="E5" s="59"/>
      <c r="F5" s="59"/>
      <c r="G5" s="152" t="s">
        <v>303</v>
      </c>
      <c r="H5" s="424">
        <f>mycut!G25</f>
        <v>0</v>
      </c>
      <c r="I5" s="424"/>
      <c r="J5" s="314"/>
      <c r="N5" s="313" t="s">
        <v>113</v>
      </c>
      <c r="O5" s="345">
        <f>C5</f>
        <v>500</v>
      </c>
      <c r="P5" s="59"/>
      <c r="Q5" s="59"/>
      <c r="R5" s="59"/>
      <c r="S5" s="152" t="s">
        <v>303</v>
      </c>
      <c r="T5" s="424">
        <f t="shared" si="1"/>
        <v>0</v>
      </c>
      <c r="U5" s="424"/>
      <c r="V5" s="314"/>
      <c r="W5" s="59"/>
      <c r="X5" s="59"/>
      <c r="Z5" s="313" t="s">
        <v>113</v>
      </c>
      <c r="AA5" s="345">
        <f>O5</f>
        <v>500</v>
      </c>
      <c r="AB5" s="59"/>
      <c r="AC5" s="59"/>
      <c r="AD5" s="59"/>
      <c r="AE5" s="152" t="s">
        <v>303</v>
      </c>
      <c r="AF5" s="424">
        <f t="shared" si="3"/>
        <v>0</v>
      </c>
      <c r="AG5" s="424"/>
      <c r="AH5" s="314"/>
      <c r="AI5" s="59"/>
      <c r="AJ5" s="59"/>
      <c r="AL5" s="313" t="s">
        <v>113</v>
      </c>
      <c r="AM5" s="345">
        <f>AA5</f>
        <v>500</v>
      </c>
      <c r="AN5" s="59"/>
      <c r="AO5" s="59"/>
      <c r="AP5" s="59"/>
      <c r="AQ5" s="152" t="s">
        <v>303</v>
      </c>
      <c r="AR5" s="424">
        <f t="shared" si="5"/>
        <v>0</v>
      </c>
      <c r="AS5" s="424"/>
      <c r="AT5" s="314"/>
      <c r="AU5" s="59"/>
      <c r="AV5" s="59"/>
      <c r="AX5" s="313" t="s">
        <v>113</v>
      </c>
      <c r="AY5" s="345">
        <f>AM5</f>
        <v>500</v>
      </c>
      <c r="AZ5" s="59"/>
      <c r="BA5" s="59"/>
      <c r="BB5" s="59"/>
      <c r="BC5" s="152" t="s">
        <v>303</v>
      </c>
      <c r="BD5" s="424">
        <f t="shared" si="7"/>
        <v>0</v>
      </c>
      <c r="BE5" s="424"/>
      <c r="BF5" s="314"/>
      <c r="BG5" s="59"/>
      <c r="BH5" s="59"/>
    </row>
    <row r="6" spans="2:60" ht="18" customHeight="1">
      <c r="B6" s="313" t="s">
        <v>165</v>
      </c>
      <c r="C6" s="152" t="str">
        <f>mycut!D29</f>
        <v>nein</v>
      </c>
      <c r="D6" s="59"/>
      <c r="E6" s="59"/>
      <c r="F6" s="59"/>
      <c r="G6" s="152" t="s">
        <v>301</v>
      </c>
      <c r="H6" s="423">
        <f>mycut!G27</f>
        <v>0</v>
      </c>
      <c r="I6" s="423"/>
      <c r="J6" s="314"/>
      <c r="N6" s="313" t="s">
        <v>165</v>
      </c>
      <c r="O6" s="152" t="str">
        <f t="shared" si="0"/>
        <v>nein</v>
      </c>
      <c r="P6" s="59"/>
      <c r="Q6" s="59"/>
      <c r="R6" s="59"/>
      <c r="S6" s="152" t="s">
        <v>301</v>
      </c>
      <c r="T6" s="423">
        <f t="shared" si="1"/>
        <v>0</v>
      </c>
      <c r="U6" s="423"/>
      <c r="V6" s="314"/>
      <c r="W6" s="59"/>
      <c r="X6" s="59"/>
      <c r="Z6" s="313" t="s">
        <v>165</v>
      </c>
      <c r="AA6" s="152" t="str">
        <f t="shared" si="2"/>
        <v>nein</v>
      </c>
      <c r="AB6" s="59"/>
      <c r="AC6" s="59"/>
      <c r="AD6" s="59"/>
      <c r="AE6" s="152" t="s">
        <v>301</v>
      </c>
      <c r="AF6" s="423">
        <f t="shared" si="3"/>
        <v>0</v>
      </c>
      <c r="AG6" s="423"/>
      <c r="AH6" s="314"/>
      <c r="AI6" s="59"/>
      <c r="AJ6" s="59"/>
      <c r="AL6" s="313" t="s">
        <v>165</v>
      </c>
      <c r="AM6" s="152" t="str">
        <f t="shared" si="4"/>
        <v>nein</v>
      </c>
      <c r="AN6" s="59"/>
      <c r="AO6" s="59"/>
      <c r="AP6" s="59"/>
      <c r="AQ6" s="152" t="s">
        <v>301</v>
      </c>
      <c r="AR6" s="423">
        <f t="shared" si="5"/>
        <v>0</v>
      </c>
      <c r="AS6" s="423"/>
      <c r="AT6" s="314"/>
      <c r="AU6" s="59"/>
      <c r="AV6" s="59"/>
      <c r="AX6" s="313" t="s">
        <v>165</v>
      </c>
      <c r="AY6" s="152" t="str">
        <f t="shared" si="6"/>
        <v>nein</v>
      </c>
      <c r="AZ6" s="59"/>
      <c r="BA6" s="59"/>
      <c r="BB6" s="59"/>
      <c r="BC6" s="152" t="s">
        <v>301</v>
      </c>
      <c r="BD6" s="423">
        <f t="shared" si="7"/>
        <v>0</v>
      </c>
      <c r="BE6" s="423"/>
      <c r="BF6" s="314"/>
      <c r="BG6" s="59"/>
      <c r="BH6" s="59"/>
    </row>
    <row r="7" spans="2:60" ht="18" customHeight="1">
      <c r="B7" s="313" t="s">
        <v>135</v>
      </c>
      <c r="C7" s="152" t="str">
        <f>mycut!D31</f>
        <v>Selbstklebend</v>
      </c>
      <c r="D7" s="59"/>
      <c r="E7" s="59"/>
      <c r="F7" s="59"/>
      <c r="G7" s="152" t="s">
        <v>304</v>
      </c>
      <c r="H7" s="424">
        <f>mycut!G29</f>
        <v>0</v>
      </c>
      <c r="I7" s="424"/>
      <c r="J7" s="314"/>
      <c r="N7" s="313" t="s">
        <v>135</v>
      </c>
      <c r="O7" s="423" t="str">
        <f t="shared" si="0"/>
        <v>Selbstklebend</v>
      </c>
      <c r="P7" s="423"/>
      <c r="Q7" s="423"/>
      <c r="R7" s="59"/>
      <c r="S7" s="152" t="s">
        <v>304</v>
      </c>
      <c r="T7" s="424">
        <f t="shared" si="1"/>
        <v>0</v>
      </c>
      <c r="U7" s="424"/>
      <c r="V7" s="314"/>
      <c r="W7" s="59"/>
      <c r="X7" s="59"/>
      <c r="Z7" s="313" t="s">
        <v>135</v>
      </c>
      <c r="AA7" s="423" t="str">
        <f t="shared" si="2"/>
        <v>Selbstklebend</v>
      </c>
      <c r="AB7" s="423"/>
      <c r="AC7" s="423"/>
      <c r="AD7" s="59"/>
      <c r="AE7" s="152" t="s">
        <v>304</v>
      </c>
      <c r="AF7" s="424">
        <f t="shared" si="3"/>
        <v>0</v>
      </c>
      <c r="AG7" s="424"/>
      <c r="AH7" s="314"/>
      <c r="AI7" s="59"/>
      <c r="AJ7" s="59"/>
      <c r="AL7" s="313" t="s">
        <v>135</v>
      </c>
      <c r="AM7" s="423" t="str">
        <f t="shared" si="4"/>
        <v>Selbstklebend</v>
      </c>
      <c r="AN7" s="423"/>
      <c r="AO7" s="423"/>
      <c r="AP7" s="59"/>
      <c r="AQ7" s="152" t="s">
        <v>304</v>
      </c>
      <c r="AR7" s="424">
        <f t="shared" si="5"/>
        <v>0</v>
      </c>
      <c r="AS7" s="424"/>
      <c r="AT7" s="314"/>
      <c r="AU7" s="59"/>
      <c r="AV7" s="59"/>
      <c r="AX7" s="313" t="s">
        <v>135</v>
      </c>
      <c r="AY7" s="423" t="str">
        <f t="shared" si="6"/>
        <v>Selbstklebend</v>
      </c>
      <c r="AZ7" s="423"/>
      <c r="BA7" s="423"/>
      <c r="BB7" s="59"/>
      <c r="BC7" s="152" t="s">
        <v>304</v>
      </c>
      <c r="BD7" s="424">
        <f t="shared" si="7"/>
        <v>0</v>
      </c>
      <c r="BE7" s="424"/>
      <c r="BF7" s="314"/>
      <c r="BG7" s="59"/>
      <c r="BH7" s="59"/>
    </row>
    <row r="8" spans="2:60" ht="18" customHeight="1">
      <c r="B8" s="313"/>
      <c r="C8" s="102"/>
      <c r="D8" s="289" t="s">
        <v>256</v>
      </c>
      <c r="E8" s="290">
        <f ca="1">B67</f>
        <v>0.34190848214285718</v>
      </c>
      <c r="F8" s="59"/>
      <c r="G8" s="152" t="s">
        <v>292</v>
      </c>
      <c r="H8" s="425">
        <f>mycut!G31</f>
        <v>0</v>
      </c>
      <c r="I8" s="425"/>
      <c r="J8" s="314"/>
      <c r="N8" s="313"/>
      <c r="O8" s="102"/>
      <c r="P8" s="289" t="s">
        <v>256</v>
      </c>
      <c r="Q8" s="290">
        <f ca="1">N67</f>
        <v>0.34190848214285718</v>
      </c>
      <c r="R8" s="59"/>
      <c r="S8" s="152" t="s">
        <v>292</v>
      </c>
      <c r="T8" s="425">
        <f t="shared" si="1"/>
        <v>0</v>
      </c>
      <c r="U8" s="425"/>
      <c r="V8" s="314"/>
      <c r="W8" s="59"/>
      <c r="X8" s="59"/>
      <c r="Z8" s="313"/>
      <c r="AA8" s="102"/>
      <c r="AB8" s="289" t="s">
        <v>256</v>
      </c>
      <c r="AC8" s="290">
        <f ca="1">Z67</f>
        <v>0.34190848214285718</v>
      </c>
      <c r="AD8" s="59"/>
      <c r="AE8" s="152" t="s">
        <v>292</v>
      </c>
      <c r="AF8" s="425">
        <f t="shared" si="3"/>
        <v>0</v>
      </c>
      <c r="AG8" s="425"/>
      <c r="AH8" s="314"/>
      <c r="AI8" s="59"/>
      <c r="AJ8" s="59"/>
      <c r="AL8" s="313"/>
      <c r="AM8" s="102"/>
      <c r="AN8" s="289" t="s">
        <v>256</v>
      </c>
      <c r="AO8" s="290">
        <f ca="1">AL67</f>
        <v>0.34190848214285718</v>
      </c>
      <c r="AP8" s="59"/>
      <c r="AQ8" s="152" t="s">
        <v>292</v>
      </c>
      <c r="AR8" s="425">
        <f t="shared" si="5"/>
        <v>0</v>
      </c>
      <c r="AS8" s="425"/>
      <c r="AT8" s="314"/>
      <c r="AU8" s="59"/>
      <c r="AV8" s="59"/>
      <c r="AX8" s="313"/>
      <c r="AY8" s="102"/>
      <c r="AZ8" s="289" t="s">
        <v>256</v>
      </c>
      <c r="BA8" s="290">
        <f ca="1">AX67</f>
        <v>0.34190848214285718</v>
      </c>
      <c r="BB8" s="59"/>
      <c r="BC8" s="152" t="s">
        <v>292</v>
      </c>
      <c r="BD8" s="425">
        <f t="shared" si="7"/>
        <v>0</v>
      </c>
      <c r="BE8" s="425"/>
      <c r="BF8" s="314"/>
      <c r="BG8" s="59"/>
      <c r="BH8" s="59"/>
    </row>
    <row r="9" spans="2:60" ht="18" customHeight="1">
      <c r="B9" s="315" t="s">
        <v>156</v>
      </c>
      <c r="C9" s="344" t="s">
        <v>143</v>
      </c>
      <c r="D9" s="289" t="s">
        <v>231</v>
      </c>
      <c r="E9" s="290">
        <f ca="1">B61</f>
        <v>4.2900669642857139</v>
      </c>
      <c r="F9" s="264"/>
      <c r="G9" s="264"/>
      <c r="H9" s="264"/>
      <c r="I9" s="264"/>
      <c r="J9" s="316"/>
      <c r="N9" s="315" t="s">
        <v>156</v>
      </c>
      <c r="O9" s="343" t="str">
        <f>C9</f>
        <v>cool</v>
      </c>
      <c r="P9" s="289" t="s">
        <v>231</v>
      </c>
      <c r="Q9" s="290">
        <f ca="1">N61</f>
        <v>4.2900669642857139</v>
      </c>
      <c r="R9" s="264"/>
      <c r="S9" s="264"/>
      <c r="T9" s="264"/>
      <c r="U9" s="264"/>
      <c r="V9" s="316"/>
      <c r="W9" s="59"/>
      <c r="X9" s="59"/>
      <c r="Z9" s="315" t="s">
        <v>156</v>
      </c>
      <c r="AA9" s="343" t="str">
        <f>O9</f>
        <v>cool</v>
      </c>
      <c r="AB9" s="289" t="s">
        <v>231</v>
      </c>
      <c r="AC9" s="290">
        <f ca="1">Z61</f>
        <v>4.2900669642857139</v>
      </c>
      <c r="AD9" s="264"/>
      <c r="AE9" s="264"/>
      <c r="AF9" s="264"/>
      <c r="AG9" s="264"/>
      <c r="AH9" s="316"/>
      <c r="AI9" s="59"/>
      <c r="AJ9" s="59"/>
      <c r="AL9" s="315" t="s">
        <v>156</v>
      </c>
      <c r="AM9" s="343" t="str">
        <f>AA9</f>
        <v>cool</v>
      </c>
      <c r="AN9" s="289" t="s">
        <v>231</v>
      </c>
      <c r="AO9" s="290">
        <f ca="1">AL61</f>
        <v>4.2900669642857139</v>
      </c>
      <c r="AP9" s="264"/>
      <c r="AQ9" s="264"/>
      <c r="AR9" s="264"/>
      <c r="AS9" s="264"/>
      <c r="AT9" s="316"/>
      <c r="AU9" s="59"/>
      <c r="AV9" s="59"/>
      <c r="AX9" s="315" t="s">
        <v>156</v>
      </c>
      <c r="AY9" s="343" t="str">
        <f>AM9</f>
        <v>cool</v>
      </c>
      <c r="AZ9" s="289" t="s">
        <v>231</v>
      </c>
      <c r="BA9" s="290">
        <f ca="1">AX61</f>
        <v>4.2900669642857139</v>
      </c>
      <c r="BB9" s="264"/>
      <c r="BC9" s="264"/>
      <c r="BD9" s="264"/>
      <c r="BE9" s="264"/>
      <c r="BF9" s="316"/>
      <c r="BG9" s="59"/>
      <c r="BH9" s="59"/>
    </row>
    <row r="10" spans="2:60" ht="17.25" customHeight="1">
      <c r="B10" s="317" t="s">
        <v>132</v>
      </c>
      <c r="C10" s="253">
        <f ca="1">material!D11</f>
        <v>0.24190848214285715</v>
      </c>
      <c r="D10" s="253">
        <f ca="1">material!D11</f>
        <v>0.24190848214285715</v>
      </c>
      <c r="E10" s="253">
        <f ca="1">material!D11</f>
        <v>0.24190848214285715</v>
      </c>
      <c r="G10" s="59" t="s">
        <v>132</v>
      </c>
      <c r="H10" s="253">
        <f ca="1">C10*C5</f>
        <v>120.95424107142857</v>
      </c>
      <c r="I10" s="253">
        <f ca="1">D10*C5</f>
        <v>120.95424107142857</v>
      </c>
      <c r="J10" s="318">
        <f ca="1">E10*C5</f>
        <v>120.95424107142857</v>
      </c>
      <c r="K10" s="265"/>
      <c r="N10" s="317" t="s">
        <v>132</v>
      </c>
      <c r="O10" s="253">
        <f ca="1">material!P11</f>
        <v>0.24190848214285715</v>
      </c>
      <c r="P10" s="253">
        <f ca="1">material!P11</f>
        <v>0.24190848214285715</v>
      </c>
      <c r="Q10" s="253">
        <f ca="1">material!P11</f>
        <v>0.24190848214285715</v>
      </c>
      <c r="S10" s="59" t="s">
        <v>132</v>
      </c>
      <c r="T10" s="253">
        <f ca="1">O10*O5</f>
        <v>120.95424107142857</v>
      </c>
      <c r="U10" s="253">
        <f ca="1">P10*O5</f>
        <v>120.95424107142857</v>
      </c>
      <c r="V10" s="318">
        <f ca="1">Q10*O5</f>
        <v>120.95424107142857</v>
      </c>
      <c r="W10" s="253"/>
      <c r="X10" s="253"/>
      <c r="Y10" s="265"/>
      <c r="Z10" s="317" t="s">
        <v>132</v>
      </c>
      <c r="AA10" s="253">
        <f ca="1">material!AB11</f>
        <v>0.24190848214285715</v>
      </c>
      <c r="AB10" s="253">
        <f ca="1">material!AB11</f>
        <v>0.24190848214285715</v>
      </c>
      <c r="AC10" s="253">
        <f ca="1">material!AB11</f>
        <v>0.24190848214285715</v>
      </c>
      <c r="AE10" s="59" t="s">
        <v>132</v>
      </c>
      <c r="AF10" s="253">
        <f ca="1">AA10*AA5</f>
        <v>120.95424107142857</v>
      </c>
      <c r="AG10" s="253">
        <f ca="1">AB10*AA5</f>
        <v>120.95424107142857</v>
      </c>
      <c r="AH10" s="318">
        <f ca="1">AC10*AA5</f>
        <v>120.95424107142857</v>
      </c>
      <c r="AI10" s="253"/>
      <c r="AJ10" s="253"/>
      <c r="AK10" s="265"/>
      <c r="AL10" s="317" t="s">
        <v>132</v>
      </c>
      <c r="AM10" s="253">
        <f ca="1">material!AN11</f>
        <v>0.24190848214285715</v>
      </c>
      <c r="AN10" s="253">
        <f ca="1">material!AN11</f>
        <v>0.24190848214285715</v>
      </c>
      <c r="AO10" s="253">
        <f ca="1">material!AN11</f>
        <v>0.24190848214285715</v>
      </c>
      <c r="AQ10" s="59" t="s">
        <v>132</v>
      </c>
      <c r="AR10" s="253">
        <f ca="1">AM10*AM5</f>
        <v>120.95424107142857</v>
      </c>
      <c r="AS10" s="253">
        <f ca="1">AN10*AM5</f>
        <v>120.95424107142857</v>
      </c>
      <c r="AT10" s="318">
        <f ca="1">AO10*AM5</f>
        <v>120.95424107142857</v>
      </c>
      <c r="AU10" s="253"/>
      <c r="AV10" s="253"/>
      <c r="AW10" s="265"/>
      <c r="AX10" s="317" t="s">
        <v>132</v>
      </c>
      <c r="AY10" s="253">
        <f ca="1">material!AZ11</f>
        <v>0.24190848214285715</v>
      </c>
      <c r="AZ10" s="253">
        <f ca="1">material!AZ11</f>
        <v>0.24190848214285715</v>
      </c>
      <c r="BA10" s="253">
        <f ca="1">material!AZ11</f>
        <v>0.24190848214285715</v>
      </c>
      <c r="BC10" s="59" t="s">
        <v>132</v>
      </c>
      <c r="BD10" s="253">
        <f ca="1">AY10*AY5</f>
        <v>120.95424107142857</v>
      </c>
      <c r="BE10" s="253">
        <f ca="1">AZ10*AY5</f>
        <v>120.95424107142857</v>
      </c>
      <c r="BF10" s="318">
        <f ca="1">BA10*AY5</f>
        <v>120.95424107142857</v>
      </c>
      <c r="BG10" s="253"/>
      <c r="BH10" s="253"/>
    </row>
    <row r="11" spans="2:60" ht="17.25" customHeight="1">
      <c r="B11" s="317" t="s">
        <v>133</v>
      </c>
      <c r="C11" s="253">
        <f>schneiden!C14</f>
        <v>0.56874999999999998</v>
      </c>
      <c r="D11" s="253">
        <f>schneiden!D14</f>
        <v>0.85312499999999991</v>
      </c>
      <c r="E11" s="253">
        <f>schneiden!E14</f>
        <v>1.1375</v>
      </c>
      <c r="G11" s="59" t="s">
        <v>133</v>
      </c>
      <c r="H11" s="253">
        <f>C11*C5</f>
        <v>284.375</v>
      </c>
      <c r="I11" s="253">
        <f>D11*C5</f>
        <v>426.56249999999994</v>
      </c>
      <c r="J11" s="318">
        <f>E11*C5</f>
        <v>568.75</v>
      </c>
      <c r="K11" s="265"/>
      <c r="N11" s="317" t="s">
        <v>133</v>
      </c>
      <c r="O11" s="253">
        <f>schneiden!O14</f>
        <v>0.56874999999999998</v>
      </c>
      <c r="P11" s="253">
        <f>schneiden!P14</f>
        <v>0.85312499999999991</v>
      </c>
      <c r="Q11" s="253">
        <f>schneiden!Q14</f>
        <v>1.1375</v>
      </c>
      <c r="S11" s="59" t="s">
        <v>133</v>
      </c>
      <c r="T11" s="253">
        <f>O11*O5</f>
        <v>284.375</v>
      </c>
      <c r="U11" s="253">
        <f>P11*O5</f>
        <v>426.56249999999994</v>
      </c>
      <c r="V11" s="318">
        <f>Q11*O5</f>
        <v>568.75</v>
      </c>
      <c r="W11" s="253"/>
      <c r="X11" s="253"/>
      <c r="Y11" s="265"/>
      <c r="Z11" s="317" t="s">
        <v>133</v>
      </c>
      <c r="AA11" s="253">
        <f>schneiden!AA14</f>
        <v>0.56874999999999998</v>
      </c>
      <c r="AB11" s="253">
        <f>schneiden!AB14</f>
        <v>0.85312499999999991</v>
      </c>
      <c r="AC11" s="253">
        <f>schneiden!AC14</f>
        <v>1.1375</v>
      </c>
      <c r="AE11" s="59" t="s">
        <v>133</v>
      </c>
      <c r="AF11" s="253">
        <f>AA11*AA5</f>
        <v>284.375</v>
      </c>
      <c r="AG11" s="253">
        <f>AB11*AA5</f>
        <v>426.56249999999994</v>
      </c>
      <c r="AH11" s="318">
        <f>AC11*AA5</f>
        <v>568.75</v>
      </c>
      <c r="AI11" s="253"/>
      <c r="AJ11" s="253"/>
      <c r="AK11" s="265"/>
      <c r="AL11" s="317" t="s">
        <v>133</v>
      </c>
      <c r="AM11" s="253">
        <f>schneiden!AM14</f>
        <v>0.56874999999999998</v>
      </c>
      <c r="AN11" s="253">
        <f>schneiden!AN14</f>
        <v>0.85312499999999991</v>
      </c>
      <c r="AO11" s="253">
        <f>schneiden!AO14</f>
        <v>1.1375</v>
      </c>
      <c r="AQ11" s="59" t="s">
        <v>133</v>
      </c>
      <c r="AR11" s="253">
        <f>AM11*AM5</f>
        <v>284.375</v>
      </c>
      <c r="AS11" s="253">
        <f>AN11*AM5</f>
        <v>426.56249999999994</v>
      </c>
      <c r="AT11" s="318">
        <f>AO11*AM5</f>
        <v>568.75</v>
      </c>
      <c r="AU11" s="253"/>
      <c r="AV11" s="253"/>
      <c r="AW11" s="265"/>
      <c r="AX11" s="317" t="s">
        <v>133</v>
      </c>
      <c r="AY11" s="253">
        <f>schneiden!AY14</f>
        <v>0.56874999999999998</v>
      </c>
      <c r="AZ11" s="253">
        <f>schneiden!AZ14</f>
        <v>0.85312499999999991</v>
      </c>
      <c r="BA11" s="253">
        <f>schneiden!BA14</f>
        <v>1.1375</v>
      </c>
      <c r="BC11" s="59" t="s">
        <v>133</v>
      </c>
      <c r="BD11" s="253">
        <f>AY11*AY5</f>
        <v>284.375</v>
      </c>
      <c r="BE11" s="253">
        <f>AZ11*AY5</f>
        <v>426.56249999999994</v>
      </c>
      <c r="BF11" s="318">
        <f>BA11*AY5</f>
        <v>568.75</v>
      </c>
      <c r="BG11" s="253"/>
      <c r="BH11" s="253"/>
    </row>
    <row r="12" spans="2:60" ht="17.25" customHeight="1">
      <c r="B12" s="317" t="s">
        <v>196</v>
      </c>
      <c r="C12" s="253">
        <f>drucken!E14</f>
        <v>0</v>
      </c>
      <c r="D12" s="253">
        <f>drucken!E14</f>
        <v>0</v>
      </c>
      <c r="E12" s="253">
        <f>drucken!E14</f>
        <v>0</v>
      </c>
      <c r="G12" s="59" t="s">
        <v>196</v>
      </c>
      <c r="H12" s="253">
        <f>C12*C5</f>
        <v>0</v>
      </c>
      <c r="I12" s="253">
        <f>D12*C5</f>
        <v>0</v>
      </c>
      <c r="J12" s="318">
        <f>E12*C5</f>
        <v>0</v>
      </c>
      <c r="K12" s="265"/>
      <c r="N12" s="59" t="s">
        <v>196</v>
      </c>
      <c r="O12" s="253">
        <f>drucken!Q14</f>
        <v>0</v>
      </c>
      <c r="P12" s="253">
        <f>drucken!Q14</f>
        <v>0</v>
      </c>
      <c r="Q12" s="253">
        <f>drucken!Q14</f>
        <v>0</v>
      </c>
      <c r="S12" s="59" t="s">
        <v>196</v>
      </c>
      <c r="T12" s="253">
        <f>O12*O5</f>
        <v>0</v>
      </c>
      <c r="U12" s="253">
        <f>P12*O5</f>
        <v>0</v>
      </c>
      <c r="V12" s="318">
        <f>Q12*O5</f>
        <v>0</v>
      </c>
      <c r="W12" s="253"/>
      <c r="X12" s="253"/>
      <c r="Y12" s="265"/>
      <c r="Z12" s="59" t="s">
        <v>196</v>
      </c>
      <c r="AA12" s="253">
        <f>drucken!AC14</f>
        <v>0</v>
      </c>
      <c r="AB12" s="253">
        <f>drucken!AC14</f>
        <v>0</v>
      </c>
      <c r="AC12" s="253">
        <f>drucken!AC14</f>
        <v>0</v>
      </c>
      <c r="AE12" s="59" t="s">
        <v>196</v>
      </c>
      <c r="AF12" s="253">
        <f>AA12*AA5</f>
        <v>0</v>
      </c>
      <c r="AG12" s="253">
        <f>AB12*AA5</f>
        <v>0</v>
      </c>
      <c r="AH12" s="318">
        <f>AC12*AA5</f>
        <v>0</v>
      </c>
      <c r="AI12" s="253"/>
      <c r="AJ12" s="253"/>
      <c r="AK12" s="265"/>
      <c r="AL12" s="59" t="s">
        <v>196</v>
      </c>
      <c r="AM12" s="253">
        <f>drucken!AO14</f>
        <v>0</v>
      </c>
      <c r="AN12" s="253">
        <f>drucken!AO14</f>
        <v>0</v>
      </c>
      <c r="AO12" s="253">
        <f>drucken!AO14</f>
        <v>0</v>
      </c>
      <c r="AQ12" s="59" t="s">
        <v>196</v>
      </c>
      <c r="AR12" s="253">
        <f>AM12*AM5</f>
        <v>0</v>
      </c>
      <c r="AS12" s="253">
        <f>AN12*AM5</f>
        <v>0</v>
      </c>
      <c r="AT12" s="318">
        <f>AO12*AM5</f>
        <v>0</v>
      </c>
      <c r="AU12" s="253"/>
      <c r="AV12" s="253"/>
      <c r="AW12" s="265"/>
      <c r="AX12" s="59" t="s">
        <v>196</v>
      </c>
      <c r="AY12" s="253">
        <f>drucken!BA14</f>
        <v>0</v>
      </c>
      <c r="AZ12" s="253">
        <f>drucken!BA14</f>
        <v>0</v>
      </c>
      <c r="BA12" s="253">
        <f>drucken!BA14</f>
        <v>0</v>
      </c>
      <c r="BC12" s="59" t="s">
        <v>196</v>
      </c>
      <c r="BD12" s="253">
        <f>AY12*AY5</f>
        <v>0</v>
      </c>
      <c r="BE12" s="253">
        <f>AZ12*AY5</f>
        <v>0</v>
      </c>
      <c r="BF12" s="318">
        <f>BA12*AY5</f>
        <v>0</v>
      </c>
      <c r="BG12" s="253"/>
      <c r="BH12" s="253"/>
    </row>
    <row r="13" spans="2:60" ht="17.25" customHeight="1">
      <c r="B13" s="317" t="s">
        <v>147</v>
      </c>
      <c r="C13" s="253">
        <f>drucken!E21</f>
        <v>0</v>
      </c>
      <c r="D13" s="253">
        <f>drucken!E21</f>
        <v>0</v>
      </c>
      <c r="E13" s="253">
        <f>drucken!E21</f>
        <v>0</v>
      </c>
      <c r="G13" s="59" t="s">
        <v>147</v>
      </c>
      <c r="H13" s="253">
        <f>C13*C5</f>
        <v>0</v>
      </c>
      <c r="I13" s="253">
        <f>D13*C5</f>
        <v>0</v>
      </c>
      <c r="J13" s="318">
        <f>E13*C5</f>
        <v>0</v>
      </c>
      <c r="K13" s="265"/>
      <c r="N13" s="317" t="s">
        <v>147</v>
      </c>
      <c r="O13" s="253">
        <f>drucken!Q21</f>
        <v>0</v>
      </c>
      <c r="P13" s="253">
        <f>drucken!Q21</f>
        <v>0</v>
      </c>
      <c r="Q13" s="253">
        <f>drucken!Q21</f>
        <v>0</v>
      </c>
      <c r="S13" s="59" t="s">
        <v>147</v>
      </c>
      <c r="T13" s="253">
        <f>O13*O5</f>
        <v>0</v>
      </c>
      <c r="U13" s="253">
        <f>P13*O5</f>
        <v>0</v>
      </c>
      <c r="V13" s="318">
        <f>Q13*O5</f>
        <v>0</v>
      </c>
      <c r="W13" s="253"/>
      <c r="X13" s="253"/>
      <c r="Y13" s="265"/>
      <c r="Z13" s="317" t="s">
        <v>147</v>
      </c>
      <c r="AA13" s="253">
        <f>drucken!AC21</f>
        <v>0</v>
      </c>
      <c r="AB13" s="253">
        <f>drucken!AC21</f>
        <v>0</v>
      </c>
      <c r="AC13" s="253">
        <f>drucken!AC21</f>
        <v>0</v>
      </c>
      <c r="AE13" s="59" t="s">
        <v>147</v>
      </c>
      <c r="AF13" s="253">
        <f>AA13*AA5</f>
        <v>0</v>
      </c>
      <c r="AG13" s="253">
        <f>AB13*AA5</f>
        <v>0</v>
      </c>
      <c r="AH13" s="318">
        <f>AC13*AA5</f>
        <v>0</v>
      </c>
      <c r="AI13" s="253"/>
      <c r="AJ13" s="253"/>
      <c r="AK13" s="265"/>
      <c r="AL13" s="317" t="s">
        <v>147</v>
      </c>
      <c r="AM13" s="253">
        <f>drucken!AO21</f>
        <v>0</v>
      </c>
      <c r="AN13" s="253">
        <f>drucken!AO21</f>
        <v>0</v>
      </c>
      <c r="AO13" s="253">
        <f>drucken!AO21</f>
        <v>0</v>
      </c>
      <c r="AQ13" s="59" t="s">
        <v>147</v>
      </c>
      <c r="AR13" s="253">
        <f>AM13*AM5</f>
        <v>0</v>
      </c>
      <c r="AS13" s="253">
        <f>AN13*AM5</f>
        <v>0</v>
      </c>
      <c r="AT13" s="318">
        <f>AO13*AM5</f>
        <v>0</v>
      </c>
      <c r="AU13" s="253"/>
      <c r="AV13" s="253"/>
      <c r="AW13" s="265"/>
      <c r="AX13" s="317" t="s">
        <v>147</v>
      </c>
      <c r="AY13" s="253">
        <f>drucken!BA21</f>
        <v>0</v>
      </c>
      <c r="AZ13" s="253">
        <f>drucken!BA21</f>
        <v>0</v>
      </c>
      <c r="BA13" s="253">
        <f>drucken!BA21</f>
        <v>0</v>
      </c>
      <c r="BC13" s="59" t="s">
        <v>147</v>
      </c>
      <c r="BD13" s="253">
        <f>AY13*AY5</f>
        <v>0</v>
      </c>
      <c r="BE13" s="253">
        <f>AZ13*AY5</f>
        <v>0</v>
      </c>
      <c r="BF13" s="318">
        <f>BA13*AY5</f>
        <v>0</v>
      </c>
      <c r="BG13" s="253"/>
      <c r="BH13" s="253"/>
    </row>
    <row r="14" spans="2:60" ht="17.25" customHeight="1">
      <c r="B14" s="317" t="s">
        <v>134</v>
      </c>
      <c r="C14" s="253">
        <f>kleben!C10</f>
        <v>0.30000000000000004</v>
      </c>
      <c r="D14" s="253">
        <f>kleben!D10</f>
        <v>0.44999999999999996</v>
      </c>
      <c r="E14" s="253">
        <f>kleben!E10</f>
        <v>0.60000000000000009</v>
      </c>
      <c r="G14" s="59" t="s">
        <v>134</v>
      </c>
      <c r="H14" s="253">
        <f>C14*C5</f>
        <v>150.00000000000003</v>
      </c>
      <c r="I14" s="253">
        <f>D14*C5</f>
        <v>224.99999999999997</v>
      </c>
      <c r="J14" s="318">
        <f>E14*C5</f>
        <v>300.00000000000006</v>
      </c>
      <c r="K14" s="265"/>
      <c r="N14" s="317" t="s">
        <v>134</v>
      </c>
      <c r="O14" s="253">
        <f>kleben!O10</f>
        <v>0.30000000000000004</v>
      </c>
      <c r="P14" s="253">
        <f>kleben!P10</f>
        <v>0.44999999999999996</v>
      </c>
      <c r="Q14" s="253">
        <f>kleben!Q10</f>
        <v>0.60000000000000009</v>
      </c>
      <c r="S14" s="59" t="s">
        <v>134</v>
      </c>
      <c r="T14" s="253">
        <f>O14*O5</f>
        <v>150.00000000000003</v>
      </c>
      <c r="U14" s="253">
        <f>P14*O5</f>
        <v>224.99999999999997</v>
      </c>
      <c r="V14" s="318">
        <f>Q14*O5</f>
        <v>300.00000000000006</v>
      </c>
      <c r="W14" s="253"/>
      <c r="X14" s="253"/>
      <c r="Y14" s="265"/>
      <c r="Z14" s="317" t="s">
        <v>134</v>
      </c>
      <c r="AA14" s="253">
        <f>kleben!AA10</f>
        <v>0.30000000000000004</v>
      </c>
      <c r="AB14" s="253">
        <f>kleben!AB10</f>
        <v>0.44999999999999996</v>
      </c>
      <c r="AC14" s="253">
        <f>kleben!AC10</f>
        <v>0.60000000000000009</v>
      </c>
      <c r="AE14" s="59" t="s">
        <v>134</v>
      </c>
      <c r="AF14" s="253">
        <f>AA14*AA5</f>
        <v>150.00000000000003</v>
      </c>
      <c r="AG14" s="253">
        <f>AB14*AA5</f>
        <v>224.99999999999997</v>
      </c>
      <c r="AH14" s="318">
        <f>AC14*AA5</f>
        <v>300.00000000000006</v>
      </c>
      <c r="AI14" s="253"/>
      <c r="AJ14" s="253"/>
      <c r="AK14" s="265"/>
      <c r="AL14" s="317" t="s">
        <v>134</v>
      </c>
      <c r="AM14" s="253">
        <f>kleben!AM10</f>
        <v>0.30000000000000004</v>
      </c>
      <c r="AN14" s="253">
        <f>kleben!AN10</f>
        <v>0.44999999999999996</v>
      </c>
      <c r="AO14" s="253">
        <f>kleben!AO10</f>
        <v>0.60000000000000009</v>
      </c>
      <c r="AQ14" s="59" t="s">
        <v>134</v>
      </c>
      <c r="AR14" s="253">
        <f>AM14*AM5</f>
        <v>150.00000000000003</v>
      </c>
      <c r="AS14" s="253">
        <f>AN14*AM5</f>
        <v>224.99999999999997</v>
      </c>
      <c r="AT14" s="318">
        <f>AO14*AM5</f>
        <v>300.00000000000006</v>
      </c>
      <c r="AU14" s="253"/>
      <c r="AV14" s="253"/>
      <c r="AW14" s="265"/>
      <c r="AX14" s="317" t="s">
        <v>134</v>
      </c>
      <c r="AY14" s="253">
        <f>kleben!AY10</f>
        <v>0.30000000000000004</v>
      </c>
      <c r="AZ14" s="253">
        <f>kleben!AZ10</f>
        <v>0.44999999999999996</v>
      </c>
      <c r="BA14" s="253">
        <f>kleben!BA10</f>
        <v>0.60000000000000009</v>
      </c>
      <c r="BC14" s="59" t="s">
        <v>134</v>
      </c>
      <c r="BD14" s="253">
        <f>AY14*AY5</f>
        <v>150.00000000000003</v>
      </c>
      <c r="BE14" s="253">
        <f>AZ14*AY5</f>
        <v>224.99999999999997</v>
      </c>
      <c r="BF14" s="318">
        <f>BA14*AY5</f>
        <v>300.00000000000006</v>
      </c>
      <c r="BG14" s="253"/>
      <c r="BH14" s="253"/>
    </row>
    <row r="15" spans="2:60" ht="17.25" customHeight="1">
      <c r="B15" s="317" t="s">
        <v>135</v>
      </c>
      <c r="C15" s="253">
        <f>verschluss!B8</f>
        <v>0.1</v>
      </c>
      <c r="D15" s="253">
        <f>verschluss!B8</f>
        <v>0.1</v>
      </c>
      <c r="E15" s="253">
        <f>verschluss!B8</f>
        <v>0.1</v>
      </c>
      <c r="G15" s="59" t="s">
        <v>135</v>
      </c>
      <c r="H15" s="253">
        <f>C15*C5</f>
        <v>50</v>
      </c>
      <c r="I15" s="253">
        <f>D15*C5</f>
        <v>50</v>
      </c>
      <c r="J15" s="318">
        <f>E15*C5</f>
        <v>50</v>
      </c>
      <c r="K15" s="265"/>
      <c r="N15" s="317" t="s">
        <v>135</v>
      </c>
      <c r="O15" s="253">
        <f>verschluss!N8</f>
        <v>0.1</v>
      </c>
      <c r="P15" s="253">
        <f>verschluss!N8</f>
        <v>0.1</v>
      </c>
      <c r="Q15" s="253">
        <f>verschluss!N8</f>
        <v>0.1</v>
      </c>
      <c r="S15" s="59" t="s">
        <v>135</v>
      </c>
      <c r="T15" s="253">
        <f>O15*O5</f>
        <v>50</v>
      </c>
      <c r="U15" s="253">
        <f>P15*O5</f>
        <v>50</v>
      </c>
      <c r="V15" s="318">
        <f>Q15*O5</f>
        <v>50</v>
      </c>
      <c r="W15" s="253"/>
      <c r="X15" s="253"/>
      <c r="Y15" s="265"/>
      <c r="Z15" s="317" t="s">
        <v>135</v>
      </c>
      <c r="AA15" s="253">
        <f>verschluss!Z8</f>
        <v>0.1</v>
      </c>
      <c r="AB15" s="253">
        <f>verschluss!Z8</f>
        <v>0.1</v>
      </c>
      <c r="AC15" s="253">
        <f>verschluss!Z8</f>
        <v>0.1</v>
      </c>
      <c r="AE15" s="59" t="s">
        <v>135</v>
      </c>
      <c r="AF15" s="253">
        <f>AA15*AA5</f>
        <v>50</v>
      </c>
      <c r="AG15" s="253">
        <f>AB15*AA5</f>
        <v>50</v>
      </c>
      <c r="AH15" s="318">
        <f>AC15*AA5</f>
        <v>50</v>
      </c>
      <c r="AI15" s="253"/>
      <c r="AJ15" s="253"/>
      <c r="AK15" s="265"/>
      <c r="AL15" s="317" t="s">
        <v>135</v>
      </c>
      <c r="AM15" s="253">
        <f>verschluss!AL8</f>
        <v>0.1</v>
      </c>
      <c r="AN15" s="253">
        <f>verschluss!AL8</f>
        <v>0.1</v>
      </c>
      <c r="AO15" s="253">
        <f>verschluss!AL8</f>
        <v>0.1</v>
      </c>
      <c r="AQ15" s="59" t="s">
        <v>135</v>
      </c>
      <c r="AR15" s="253">
        <f>AM15*AM5</f>
        <v>50</v>
      </c>
      <c r="AS15" s="253">
        <f>AN15*AM5</f>
        <v>50</v>
      </c>
      <c r="AT15" s="318">
        <f>AO15*AM5</f>
        <v>50</v>
      </c>
      <c r="AU15" s="253"/>
      <c r="AV15" s="253"/>
      <c r="AW15" s="265"/>
      <c r="AX15" s="317" t="s">
        <v>135</v>
      </c>
      <c r="AY15" s="253">
        <f>verschluss!AX8</f>
        <v>0.1</v>
      </c>
      <c r="AZ15" s="253">
        <f>verschluss!AX8</f>
        <v>0.1</v>
      </c>
      <c r="BA15" s="253">
        <f>verschluss!AX8</f>
        <v>0.1</v>
      </c>
      <c r="BC15" s="59" t="s">
        <v>135</v>
      </c>
      <c r="BD15" s="253">
        <f>AY15*AY5</f>
        <v>50</v>
      </c>
      <c r="BE15" s="253">
        <f>AZ15*AY5</f>
        <v>50</v>
      </c>
      <c r="BF15" s="318">
        <f>BA15*AY5</f>
        <v>50</v>
      </c>
      <c r="BG15" s="253"/>
      <c r="BH15" s="253"/>
    </row>
    <row r="16" spans="2:60" ht="17.25" customHeight="1">
      <c r="B16" s="317" t="s">
        <v>156</v>
      </c>
      <c r="C16" s="266" t="s">
        <v>142</v>
      </c>
      <c r="D16" s="266" t="s">
        <v>143</v>
      </c>
      <c r="E16" s="266" t="s">
        <v>144</v>
      </c>
      <c r="G16" s="59" t="s">
        <v>156</v>
      </c>
      <c r="H16" s="266" t="s">
        <v>142</v>
      </c>
      <c r="I16" s="266" t="s">
        <v>143</v>
      </c>
      <c r="J16" s="319" t="s">
        <v>144</v>
      </c>
      <c r="K16" s="267"/>
      <c r="N16" s="317" t="s">
        <v>156</v>
      </c>
      <c r="O16" s="266" t="s">
        <v>142</v>
      </c>
      <c r="P16" s="266" t="s">
        <v>143</v>
      </c>
      <c r="Q16" s="266" t="s">
        <v>144</v>
      </c>
      <c r="S16" s="59" t="s">
        <v>156</v>
      </c>
      <c r="T16" s="266" t="s">
        <v>142</v>
      </c>
      <c r="U16" s="266" t="s">
        <v>143</v>
      </c>
      <c r="V16" s="319" t="s">
        <v>144</v>
      </c>
      <c r="W16" s="266"/>
      <c r="X16" s="266"/>
      <c r="Y16" s="267"/>
      <c r="Z16" s="317" t="s">
        <v>156</v>
      </c>
      <c r="AA16" s="266" t="s">
        <v>142</v>
      </c>
      <c r="AB16" s="266" t="s">
        <v>143</v>
      </c>
      <c r="AC16" s="266" t="s">
        <v>144</v>
      </c>
      <c r="AE16" s="59" t="s">
        <v>156</v>
      </c>
      <c r="AF16" s="266" t="s">
        <v>142</v>
      </c>
      <c r="AG16" s="266" t="s">
        <v>143</v>
      </c>
      <c r="AH16" s="319" t="s">
        <v>144</v>
      </c>
      <c r="AI16" s="266"/>
      <c r="AJ16" s="266"/>
      <c r="AK16" s="267"/>
      <c r="AL16" s="317" t="s">
        <v>156</v>
      </c>
      <c r="AM16" s="266" t="s">
        <v>142</v>
      </c>
      <c r="AN16" s="266" t="s">
        <v>143</v>
      </c>
      <c r="AO16" s="266" t="s">
        <v>144</v>
      </c>
      <c r="AQ16" s="59" t="s">
        <v>156</v>
      </c>
      <c r="AR16" s="266" t="s">
        <v>142</v>
      </c>
      <c r="AS16" s="266" t="s">
        <v>143</v>
      </c>
      <c r="AT16" s="319" t="s">
        <v>144</v>
      </c>
      <c r="AU16" s="266"/>
      <c r="AV16" s="266"/>
      <c r="AW16" s="267"/>
      <c r="AX16" s="317" t="s">
        <v>156</v>
      </c>
      <c r="AY16" s="266" t="s">
        <v>142</v>
      </c>
      <c r="AZ16" s="266" t="s">
        <v>143</v>
      </c>
      <c r="BA16" s="266" t="s">
        <v>144</v>
      </c>
      <c r="BC16" s="59" t="s">
        <v>156</v>
      </c>
      <c r="BD16" s="266" t="s">
        <v>142</v>
      </c>
      <c r="BE16" s="266" t="s">
        <v>143</v>
      </c>
      <c r="BF16" s="319" t="s">
        <v>144</v>
      </c>
      <c r="BG16" s="266"/>
      <c r="BH16" s="266"/>
    </row>
    <row r="17" spans="2:60" ht="17.25" customHeight="1">
      <c r="B17" s="320" t="s">
        <v>155</v>
      </c>
      <c r="C17" s="288">
        <f ca="1">SUM(C10:C15)</f>
        <v>1.2106584821428572</v>
      </c>
      <c r="D17" s="288">
        <f ca="1">SUM(D10:D15)</f>
        <v>1.6450334821428572</v>
      </c>
      <c r="E17" s="288">
        <f ca="1">SUM(E10:E15)</f>
        <v>2.0794084821428571</v>
      </c>
      <c r="F17" s="307"/>
      <c r="G17" s="308" t="s">
        <v>164</v>
      </c>
      <c r="H17" s="288">
        <f ca="1">SUM(H10:H15)</f>
        <v>605.32924107142856</v>
      </c>
      <c r="I17" s="288">
        <f ca="1">SUM(I10:I15)</f>
        <v>822.51674107142856</v>
      </c>
      <c r="J17" s="321">
        <f ca="1">SUM(J10:J15)</f>
        <v>1039.7042410714287</v>
      </c>
      <c r="K17" s="265"/>
      <c r="N17" s="320" t="s">
        <v>155</v>
      </c>
      <c r="O17" s="288">
        <f ca="1">SUM(O10:O15)</f>
        <v>1.2106584821428572</v>
      </c>
      <c r="P17" s="288">
        <f ca="1">SUM(P10:P15)</f>
        <v>1.6450334821428572</v>
      </c>
      <c r="Q17" s="288">
        <f ca="1">SUM(Q10:Q15)</f>
        <v>2.0794084821428571</v>
      </c>
      <c r="R17" s="307"/>
      <c r="S17" s="308" t="s">
        <v>164</v>
      </c>
      <c r="T17" s="288">
        <f ca="1">SUM(T10:T15)</f>
        <v>605.32924107142856</v>
      </c>
      <c r="U17" s="288">
        <f ca="1">SUM(U10:U15)</f>
        <v>822.51674107142856</v>
      </c>
      <c r="V17" s="321">
        <f ca="1">SUM(V10:V15)</f>
        <v>1039.7042410714287</v>
      </c>
      <c r="W17" s="255"/>
      <c r="X17" s="255"/>
      <c r="Y17" s="265"/>
      <c r="Z17" s="320" t="s">
        <v>155</v>
      </c>
      <c r="AA17" s="288">
        <f ca="1">SUM(AA10:AA15)</f>
        <v>1.2106584821428572</v>
      </c>
      <c r="AB17" s="288">
        <f ca="1">SUM(AB10:AB15)</f>
        <v>1.6450334821428572</v>
      </c>
      <c r="AC17" s="288">
        <f ca="1">SUM(AC10:AC15)</f>
        <v>2.0794084821428571</v>
      </c>
      <c r="AD17" s="307"/>
      <c r="AE17" s="308" t="s">
        <v>164</v>
      </c>
      <c r="AF17" s="288">
        <f ca="1">SUM(AF10:AF15)</f>
        <v>605.32924107142856</v>
      </c>
      <c r="AG17" s="288">
        <f ca="1">SUM(AG10:AG15)</f>
        <v>822.51674107142856</v>
      </c>
      <c r="AH17" s="321">
        <f ca="1">SUM(AH10:AH15)</f>
        <v>1039.7042410714287</v>
      </c>
      <c r="AI17" s="255"/>
      <c r="AJ17" s="255"/>
      <c r="AK17" s="265"/>
      <c r="AL17" s="320" t="s">
        <v>155</v>
      </c>
      <c r="AM17" s="288">
        <f ca="1">SUM(AM10:AM15)</f>
        <v>1.2106584821428572</v>
      </c>
      <c r="AN17" s="288">
        <f ca="1">SUM(AN10:AN15)</f>
        <v>1.6450334821428572</v>
      </c>
      <c r="AO17" s="288">
        <f ca="1">SUM(AO10:AO15)</f>
        <v>2.0794084821428571</v>
      </c>
      <c r="AP17" s="307"/>
      <c r="AQ17" s="308" t="s">
        <v>164</v>
      </c>
      <c r="AR17" s="288">
        <f ca="1">SUM(AR10:AR15)</f>
        <v>605.32924107142856</v>
      </c>
      <c r="AS17" s="288">
        <f ca="1">SUM(AS10:AS15)</f>
        <v>822.51674107142856</v>
      </c>
      <c r="AT17" s="321">
        <f ca="1">SUM(AT10:AT15)</f>
        <v>1039.7042410714287</v>
      </c>
      <c r="AU17" s="255"/>
      <c r="AV17" s="255"/>
      <c r="AW17" s="265"/>
      <c r="AX17" s="320" t="s">
        <v>155</v>
      </c>
      <c r="AY17" s="288">
        <f ca="1">SUM(AY10:AY15)</f>
        <v>1.2106584821428572</v>
      </c>
      <c r="AZ17" s="288">
        <f ca="1">SUM(AZ10:AZ15)</f>
        <v>1.6450334821428572</v>
      </c>
      <c r="BA17" s="288">
        <f ca="1">SUM(BA10:BA15)</f>
        <v>2.0794084821428571</v>
      </c>
      <c r="BB17" s="307"/>
      <c r="BC17" s="308" t="s">
        <v>164</v>
      </c>
      <c r="BD17" s="288">
        <f ca="1">SUM(BD10:BD15)</f>
        <v>605.32924107142856</v>
      </c>
      <c r="BE17" s="288">
        <f ca="1">SUM(BE10:BE15)</f>
        <v>822.51674107142856</v>
      </c>
      <c r="BF17" s="321">
        <f ca="1">SUM(BF10:BF15)</f>
        <v>1039.7042410714287</v>
      </c>
      <c r="BG17" s="255"/>
      <c r="BH17" s="255"/>
    </row>
    <row r="18" spans="2:60" ht="17.25" customHeight="1">
      <c r="B18" s="317" t="s">
        <v>256</v>
      </c>
      <c r="C18" s="284">
        <f ca="1">SUM(C10,C12,C13,C15)</f>
        <v>0.34190848214285718</v>
      </c>
      <c r="D18" s="284">
        <f ca="1">SUM(D10,D12,D13,D15)</f>
        <v>0.34190848214285718</v>
      </c>
      <c r="E18" s="284">
        <f ca="1">SUM(E10,E12,E13,E15)</f>
        <v>0.34190848214285718</v>
      </c>
      <c r="G18" s="59" t="s">
        <v>256</v>
      </c>
      <c r="H18" s="284">
        <f ca="1">SUM(H10,H12,H13,H15)</f>
        <v>170.95424107142856</v>
      </c>
      <c r="I18" s="284">
        <f ca="1">SUM(I10,I12,I13,I15)</f>
        <v>170.95424107142856</v>
      </c>
      <c r="J18" s="322">
        <f ca="1">SUM(J10,J12,J13,J15)</f>
        <v>170.95424107142856</v>
      </c>
      <c r="K18" s="305"/>
      <c r="N18" s="317" t="s">
        <v>256</v>
      </c>
      <c r="O18" s="284">
        <f ca="1">SUM(O10,O12,O13,O15)</f>
        <v>0.34190848214285718</v>
      </c>
      <c r="P18" s="284">
        <f ca="1">SUM(P10,P12,P13,P15)</f>
        <v>0.34190848214285718</v>
      </c>
      <c r="Q18" s="284">
        <f ca="1">SUM(Q10,Q12,Q13,Q15)</f>
        <v>0.34190848214285718</v>
      </c>
      <c r="S18" s="59" t="s">
        <v>256</v>
      </c>
      <c r="T18" s="284">
        <f ca="1">SUM(T10,T12,T13,T15)</f>
        <v>170.95424107142856</v>
      </c>
      <c r="U18" s="284">
        <f ca="1">SUM(U10,U12,U13,U15)</f>
        <v>170.95424107142856</v>
      </c>
      <c r="V18" s="322">
        <f ca="1">SUM(V10,V12,V13,V15)</f>
        <v>170.95424107142856</v>
      </c>
      <c r="W18" s="284"/>
      <c r="X18" s="284"/>
      <c r="Y18" s="285"/>
      <c r="Z18" s="317" t="s">
        <v>256</v>
      </c>
      <c r="AA18" s="284">
        <f ca="1">SUM(AA10,AA12,AA13,AA15)</f>
        <v>0.34190848214285718</v>
      </c>
      <c r="AB18" s="284">
        <f ca="1">SUM(AB10,AB12,AB13,AB15)</f>
        <v>0.34190848214285718</v>
      </c>
      <c r="AC18" s="284">
        <f ca="1">SUM(AC10,AC12,AC13,AC15)</f>
        <v>0.34190848214285718</v>
      </c>
      <c r="AE18" s="59" t="s">
        <v>256</v>
      </c>
      <c r="AF18" s="284">
        <f ca="1">SUM(AF10,AF12,AF13,AF15)</f>
        <v>170.95424107142856</v>
      </c>
      <c r="AG18" s="284">
        <f ca="1">SUM(AG10,AG12,AG13,AG15)</f>
        <v>170.95424107142856</v>
      </c>
      <c r="AH18" s="322">
        <f ca="1">SUM(AH10,AH12,AH13,AH15)</f>
        <v>170.95424107142856</v>
      </c>
      <c r="AI18" s="284"/>
      <c r="AJ18" s="284"/>
      <c r="AK18" s="285"/>
      <c r="AL18" s="317" t="s">
        <v>256</v>
      </c>
      <c r="AM18" s="284">
        <f ca="1">SUM(AM10,AM12,AM13,AM15)</f>
        <v>0.34190848214285718</v>
      </c>
      <c r="AN18" s="284">
        <f ca="1">SUM(AN10,AN12,AN13,AN15)</f>
        <v>0.34190848214285718</v>
      </c>
      <c r="AO18" s="284">
        <f ca="1">SUM(AO10,AO12,AO13,AO15)</f>
        <v>0.34190848214285718</v>
      </c>
      <c r="AQ18" s="59" t="s">
        <v>256</v>
      </c>
      <c r="AR18" s="284">
        <f ca="1">SUM(AR10,AR12,AR13,AR15)</f>
        <v>170.95424107142856</v>
      </c>
      <c r="AS18" s="284">
        <f ca="1">SUM(AS10,AS12,AS13,AS15)</f>
        <v>170.95424107142856</v>
      </c>
      <c r="AT18" s="322">
        <f ca="1">SUM(AT10,AT12,AT13,AT15)</f>
        <v>170.95424107142856</v>
      </c>
      <c r="AU18" s="284"/>
      <c r="AV18" s="284"/>
      <c r="AW18" s="285"/>
      <c r="AX18" s="317" t="s">
        <v>256</v>
      </c>
      <c r="AY18" s="284">
        <f ca="1">SUM(AY10,AY12,AY13,AY15)</f>
        <v>0.34190848214285718</v>
      </c>
      <c r="AZ18" s="284">
        <f ca="1">SUM(AZ10,AZ12,AZ13,AZ15)</f>
        <v>0.34190848214285718</v>
      </c>
      <c r="BA18" s="284">
        <f ca="1">SUM(BA10,BA12,BA13,BA15)</f>
        <v>0.34190848214285718</v>
      </c>
      <c r="BC18" s="59" t="s">
        <v>256</v>
      </c>
      <c r="BD18" s="284">
        <f ca="1">SUM(BD10,BD12,BD13,BD15)</f>
        <v>170.95424107142856</v>
      </c>
      <c r="BE18" s="284">
        <f ca="1">SUM(BE10,BE12,BE13,BE15)</f>
        <v>170.95424107142856</v>
      </c>
      <c r="BF18" s="322">
        <f ca="1">SUM(BF10,BF12,BF13,BF15)</f>
        <v>170.95424107142856</v>
      </c>
      <c r="BG18" s="284"/>
      <c r="BH18" s="284"/>
    </row>
    <row r="19" spans="2:60" ht="17.25" customHeight="1">
      <c r="B19" s="323"/>
      <c r="G19" s="2" t="s">
        <v>232</v>
      </c>
      <c r="H19" s="136">
        <f ca="1">IF(H20&gt;marge!$E10,H20,marge!$E10)</f>
        <v>50</v>
      </c>
      <c r="I19" s="136">
        <f ca="1">IF(I20&gt;marge!$E10,I20,marge!$E10)</f>
        <v>50</v>
      </c>
      <c r="J19" s="324">
        <f ca="1">IF(J20&gt;marge!$E10,J20,marge!$E10)</f>
        <v>50</v>
      </c>
      <c r="K19" s="305"/>
      <c r="N19" s="323"/>
      <c r="S19" s="2" t="s">
        <v>232</v>
      </c>
      <c r="T19" s="136">
        <f ca="1">IF(T20&gt;marge!$S10,T20,marge!$S10)</f>
        <v>50</v>
      </c>
      <c r="U19" s="136">
        <f ca="1">IF(U20&gt;marge!$S10,U20,marge!$S10)</f>
        <v>50</v>
      </c>
      <c r="V19" s="324">
        <f ca="1">IF(V20&gt;marge!$S10,V20,marge!$S10)</f>
        <v>50</v>
      </c>
      <c r="Y19" s="285"/>
      <c r="Z19" s="323"/>
      <c r="AE19" s="2" t="s">
        <v>232</v>
      </c>
      <c r="AF19" s="136">
        <f ca="1">IF(AF20&gt;marge!$AG10,AF20,marge!$AG10)</f>
        <v>50</v>
      </c>
      <c r="AG19" s="136">
        <f ca="1">IF(AG20&gt;marge!$AG10,AG20,marge!$AG10)</f>
        <v>50</v>
      </c>
      <c r="AH19" s="324">
        <f ca="1">IF(AH20&gt;marge!$AG10,AH20,marge!$AG10)</f>
        <v>50</v>
      </c>
      <c r="AK19" s="285"/>
      <c r="AL19" s="323"/>
      <c r="AQ19" s="2" t="s">
        <v>232</v>
      </c>
      <c r="AR19" s="136">
        <f ca="1">IF(AR20&gt;marge!$AU10,AR20,marge!$AU10)</f>
        <v>50</v>
      </c>
      <c r="AS19" s="136">
        <f ca="1">IF(AS20&gt;marge!$AU10,AS20,marge!$AU10)</f>
        <v>50</v>
      </c>
      <c r="AT19" s="324">
        <f ca="1">IF(AT20&gt;marge!$AU10,AT20,marge!$AU10)</f>
        <v>50</v>
      </c>
      <c r="AW19" s="285"/>
      <c r="AX19" s="323"/>
      <c r="BC19" s="2" t="s">
        <v>232</v>
      </c>
      <c r="BD19" s="136">
        <f ca="1">IF(BD20&gt;marge!$BI10,BD20,marge!$BI10)</f>
        <v>50</v>
      </c>
      <c r="BE19" s="136">
        <f ca="1">IF(BE20&gt;marge!$BI10,BE20,marge!$BI10)</f>
        <v>50</v>
      </c>
      <c r="BF19" s="324">
        <f ca="1">IF(BF20&gt;marge!$BI10,BF20,marge!$BI10)</f>
        <v>50</v>
      </c>
    </row>
    <row r="20" spans="2:60" ht="17.25" customHeight="1">
      <c r="B20" s="323"/>
      <c r="G20" s="1" t="s">
        <v>171</v>
      </c>
      <c r="H20" s="136">
        <f ca="1">marge!$K7</f>
        <v>50</v>
      </c>
      <c r="I20" s="136">
        <f ca="1">marge!$K7</f>
        <v>50</v>
      </c>
      <c r="J20" s="324">
        <f ca="1">marge!$K7</f>
        <v>50</v>
      </c>
      <c r="K20" s="305"/>
      <c r="N20" s="323"/>
      <c r="S20" s="1" t="s">
        <v>171</v>
      </c>
      <c r="T20" s="136">
        <f ca="1">marge!$Y7</f>
        <v>50</v>
      </c>
      <c r="U20" s="136">
        <f ca="1">marge!$Y7</f>
        <v>50</v>
      </c>
      <c r="V20" s="324">
        <f ca="1">marge!$Y7</f>
        <v>50</v>
      </c>
      <c r="W20" s="136"/>
      <c r="X20" s="136"/>
      <c r="Y20" s="285"/>
      <c r="Z20" s="323"/>
      <c r="AE20" s="1" t="s">
        <v>171</v>
      </c>
      <c r="AF20" s="136">
        <f ca="1">marge!$AM7</f>
        <v>50</v>
      </c>
      <c r="AG20" s="136">
        <f ca="1">marge!$AM7</f>
        <v>50</v>
      </c>
      <c r="AH20" s="324">
        <f ca="1">marge!$AM7</f>
        <v>50</v>
      </c>
      <c r="AI20" s="136"/>
      <c r="AJ20" s="136"/>
      <c r="AK20" s="285"/>
      <c r="AL20" s="323"/>
      <c r="AQ20" s="1" t="s">
        <v>171</v>
      </c>
      <c r="AR20" s="136">
        <f ca="1">marge!$BA7</f>
        <v>50</v>
      </c>
      <c r="AS20" s="136">
        <f ca="1">marge!$BA7</f>
        <v>50</v>
      </c>
      <c r="AT20" s="324">
        <f ca="1">marge!$BA7</f>
        <v>50</v>
      </c>
      <c r="AU20" s="136"/>
      <c r="AV20" s="136"/>
      <c r="AW20" s="285"/>
      <c r="AX20" s="323"/>
      <c r="BC20" s="1" t="s">
        <v>171</v>
      </c>
      <c r="BD20" s="136">
        <f ca="1">marge!$BO7</f>
        <v>50</v>
      </c>
      <c r="BE20" s="136">
        <f ca="1">marge!$BO7</f>
        <v>50</v>
      </c>
      <c r="BF20" s="324">
        <f ca="1">marge!$BO7</f>
        <v>50</v>
      </c>
      <c r="BG20" s="136"/>
      <c r="BH20" s="136"/>
    </row>
    <row r="21" spans="2:60" ht="17.25" customHeight="1">
      <c r="B21" s="323"/>
      <c r="G21" s="2" t="s">
        <v>172</v>
      </c>
      <c r="H21" s="136">
        <f ca="1">H17*100/(100-H19)</f>
        <v>1210.6584821428571</v>
      </c>
      <c r="I21" s="136">
        <f t="shared" ref="I21:J21" ca="1" si="8">I17*100/(100-I19)</f>
        <v>1645.0334821428571</v>
      </c>
      <c r="J21" s="324">
        <f t="shared" ca="1" si="8"/>
        <v>2079.4084821428573</v>
      </c>
      <c r="K21" s="305"/>
      <c r="N21" s="323"/>
      <c r="S21" s="2" t="s">
        <v>172</v>
      </c>
      <c r="T21" s="136">
        <f ca="1">T17*100/(100-T19)</f>
        <v>1210.6584821428571</v>
      </c>
      <c r="U21" s="136">
        <f t="shared" ref="U21:V21" ca="1" si="9">U17*100/(100-U19)</f>
        <v>1645.0334821428571</v>
      </c>
      <c r="V21" s="324">
        <f t="shared" ca="1" si="9"/>
        <v>2079.4084821428573</v>
      </c>
      <c r="W21" s="136"/>
      <c r="X21" s="136"/>
      <c r="Y21" s="285"/>
      <c r="Z21" s="323"/>
      <c r="AE21" s="2" t="s">
        <v>172</v>
      </c>
      <c r="AF21" s="136">
        <f ca="1">AF17*100/(100-AF19)</f>
        <v>1210.6584821428571</v>
      </c>
      <c r="AG21" s="136">
        <f t="shared" ref="AG21:AH21" ca="1" si="10">AG17*100/(100-AG19)</f>
        <v>1645.0334821428571</v>
      </c>
      <c r="AH21" s="324">
        <f t="shared" ca="1" si="10"/>
        <v>2079.4084821428573</v>
      </c>
      <c r="AI21" s="136"/>
      <c r="AJ21" s="136"/>
      <c r="AK21" s="285"/>
      <c r="AL21" s="323"/>
      <c r="AQ21" s="2" t="s">
        <v>172</v>
      </c>
      <c r="AR21" s="136">
        <f ca="1">AR17*100/(100-AR19)</f>
        <v>1210.6584821428571</v>
      </c>
      <c r="AS21" s="136">
        <f t="shared" ref="AS21:AT21" ca="1" si="11">AS17*100/(100-AS19)</f>
        <v>1645.0334821428571</v>
      </c>
      <c r="AT21" s="324">
        <f t="shared" ca="1" si="11"/>
        <v>2079.4084821428573</v>
      </c>
      <c r="AU21" s="136"/>
      <c r="AV21" s="136"/>
      <c r="AW21" s="285"/>
      <c r="AX21" s="323"/>
      <c r="BC21" s="2" t="s">
        <v>172</v>
      </c>
      <c r="BD21" s="136">
        <f ca="1">BD17*100/(100-BD19)</f>
        <v>1210.6584821428571</v>
      </c>
      <c r="BE21" s="136">
        <f t="shared" ref="BE21:BF21" ca="1" si="12">BE17*100/(100-BE19)</f>
        <v>1645.0334821428571</v>
      </c>
      <c r="BF21" s="324">
        <f t="shared" ca="1" si="12"/>
        <v>2079.4084821428573</v>
      </c>
      <c r="BG21" s="136"/>
      <c r="BH21" s="136"/>
    </row>
    <row r="22" spans="2:60" ht="17.25" customHeight="1">
      <c r="B22" s="323"/>
      <c r="G22" s="2" t="s">
        <v>5</v>
      </c>
      <c r="H22" s="136">
        <v>500</v>
      </c>
      <c r="I22" s="136">
        <v>500</v>
      </c>
      <c r="J22" s="324">
        <v>500</v>
      </c>
      <c r="K22" s="305"/>
      <c r="N22" s="323"/>
      <c r="S22" s="2" t="s">
        <v>5</v>
      </c>
      <c r="T22" s="136">
        <f>$H22</f>
        <v>500</v>
      </c>
      <c r="U22" s="136">
        <f>$H22</f>
        <v>500</v>
      </c>
      <c r="V22" s="324">
        <f>$H22</f>
        <v>500</v>
      </c>
      <c r="W22" s="136"/>
      <c r="X22" s="136"/>
      <c r="Y22" s="285"/>
      <c r="Z22" s="323"/>
      <c r="AE22" s="2" t="s">
        <v>5</v>
      </c>
      <c r="AF22" s="136">
        <f>$H22</f>
        <v>500</v>
      </c>
      <c r="AG22" s="136">
        <f>$H22</f>
        <v>500</v>
      </c>
      <c r="AH22" s="324">
        <f>$H22</f>
        <v>500</v>
      </c>
      <c r="AI22" s="136"/>
      <c r="AJ22" s="136"/>
      <c r="AK22" s="285"/>
      <c r="AL22" s="323"/>
      <c r="AQ22" s="2" t="s">
        <v>5</v>
      </c>
      <c r="AR22" s="136">
        <f>$H22</f>
        <v>500</v>
      </c>
      <c r="AS22" s="136">
        <f>$H22</f>
        <v>500</v>
      </c>
      <c r="AT22" s="324">
        <f>$H22</f>
        <v>500</v>
      </c>
      <c r="AU22" s="136"/>
      <c r="AV22" s="136"/>
      <c r="AW22" s="285"/>
      <c r="AX22" s="323"/>
      <c r="BC22" s="2" t="s">
        <v>5</v>
      </c>
      <c r="BD22" s="136">
        <f>$H22</f>
        <v>500</v>
      </c>
      <c r="BE22" s="136">
        <f>$H22</f>
        <v>500</v>
      </c>
      <c r="BF22" s="324">
        <f>$H22</f>
        <v>500</v>
      </c>
      <c r="BG22" s="136"/>
      <c r="BH22" s="136"/>
    </row>
    <row r="23" spans="2:60" ht="17.25" hidden="1" customHeight="1">
      <c r="B23" s="320" t="s">
        <v>176</v>
      </c>
      <c r="C23" s="309">
        <f ca="1">H23/C5</f>
        <v>3.4213169642857144</v>
      </c>
      <c r="D23" s="309">
        <f ca="1">I23/C5</f>
        <v>4.2900669642857139</v>
      </c>
      <c r="E23" s="309">
        <f ca="1">J23/C5</f>
        <v>5.1588169642857142</v>
      </c>
      <c r="F23" s="307"/>
      <c r="G23" s="308" t="s">
        <v>173</v>
      </c>
      <c r="H23" s="288">
        <f ca="1">SUM(H21:H22)*H30</f>
        <v>1710.6584821428571</v>
      </c>
      <c r="I23" s="288">
        <f ca="1">SUM(I21:I22)*I30</f>
        <v>2145.0334821428569</v>
      </c>
      <c r="J23" s="321">
        <f ca="1">SUM(J21:J22)*J30</f>
        <v>2579.4084821428573</v>
      </c>
      <c r="K23" s="305"/>
      <c r="N23" s="320" t="s">
        <v>176</v>
      </c>
      <c r="O23" s="309">
        <f ca="1">T23/O5</f>
        <v>3.4213169642857144</v>
      </c>
      <c r="P23" s="309">
        <f ca="1">U23/O5</f>
        <v>4.2900669642857139</v>
      </c>
      <c r="Q23" s="309">
        <f ca="1">V23/O5</f>
        <v>5.1588169642857142</v>
      </c>
      <c r="R23" s="307"/>
      <c r="S23" s="308" t="s">
        <v>173</v>
      </c>
      <c r="T23" s="288">
        <f ca="1">SUM(T21:T22)*T30</f>
        <v>1710.6584821428571</v>
      </c>
      <c r="U23" s="288">
        <f ca="1">SUM(U21:U22)*U30</f>
        <v>2145.0334821428569</v>
      </c>
      <c r="V23" s="321">
        <f ca="1">SUM(V21:V22)*V30</f>
        <v>2579.4084821428573</v>
      </c>
      <c r="W23" s="255"/>
      <c r="X23" s="255"/>
      <c r="Y23" s="285"/>
      <c r="Z23" s="320" t="s">
        <v>176</v>
      </c>
      <c r="AA23" s="309">
        <f ca="1">AF23/AA5</f>
        <v>3.4213169642857144</v>
      </c>
      <c r="AB23" s="309">
        <f ca="1">AG23/AA5</f>
        <v>4.2900669642857139</v>
      </c>
      <c r="AC23" s="309">
        <f ca="1">AH23/AA5</f>
        <v>5.1588169642857142</v>
      </c>
      <c r="AD23" s="307"/>
      <c r="AE23" s="308" t="s">
        <v>173</v>
      </c>
      <c r="AF23" s="288">
        <f ca="1">SUM(AF21:AF22)*AF30</f>
        <v>1710.6584821428571</v>
      </c>
      <c r="AG23" s="288">
        <f ca="1">SUM(AG21:AG22)*AG30</f>
        <v>2145.0334821428569</v>
      </c>
      <c r="AH23" s="321">
        <f ca="1">SUM(AH21:AH22)*AH30</f>
        <v>2579.4084821428573</v>
      </c>
      <c r="AI23" s="255"/>
      <c r="AJ23" s="255"/>
      <c r="AK23" s="285"/>
      <c r="AL23" s="320" t="s">
        <v>176</v>
      </c>
      <c r="AM23" s="309">
        <f ca="1">AR23/AM5</f>
        <v>3.4213169642857144</v>
      </c>
      <c r="AN23" s="309">
        <f ca="1">AS23/AM5</f>
        <v>4.2900669642857139</v>
      </c>
      <c r="AO23" s="309">
        <f ca="1">AT23/AM5</f>
        <v>5.1588169642857142</v>
      </c>
      <c r="AP23" s="307"/>
      <c r="AQ23" s="308" t="s">
        <v>173</v>
      </c>
      <c r="AR23" s="288">
        <f ca="1">SUM(AR21:AR22)*AR30</f>
        <v>1710.6584821428571</v>
      </c>
      <c r="AS23" s="288">
        <f ca="1">SUM(AS21:AS22)*AS30</f>
        <v>2145.0334821428569</v>
      </c>
      <c r="AT23" s="321">
        <f ca="1">SUM(AT21:AT22)*AT30</f>
        <v>2579.4084821428573</v>
      </c>
      <c r="AU23" s="255"/>
      <c r="AV23" s="255"/>
      <c r="AW23" s="285"/>
      <c r="AX23" s="320" t="s">
        <v>176</v>
      </c>
      <c r="AY23" s="309">
        <f ca="1">BD23/AY5</f>
        <v>3.4213169642857144</v>
      </c>
      <c r="AZ23" s="309">
        <f ca="1">BE23/AY5</f>
        <v>4.2900669642857139</v>
      </c>
      <c r="BA23" s="309">
        <f ca="1">BF23/AY5</f>
        <v>5.1588169642857142</v>
      </c>
      <c r="BB23" s="307"/>
      <c r="BC23" s="308" t="s">
        <v>173</v>
      </c>
      <c r="BD23" s="288">
        <f ca="1">SUM(BD21:BD22)*BD30</f>
        <v>1710.6584821428571</v>
      </c>
      <c r="BE23" s="288">
        <f ca="1">SUM(BE21:BE22)*BE30</f>
        <v>2145.0334821428569</v>
      </c>
      <c r="BF23" s="321">
        <f ca="1">SUM(BF21:BF22)*BF30</f>
        <v>2579.4084821428573</v>
      </c>
      <c r="BG23" s="255"/>
      <c r="BH23" s="255"/>
    </row>
    <row r="24" spans="2:60" ht="17.25" hidden="1" customHeight="1">
      <c r="B24" s="323"/>
      <c r="C24" s="1" t="s">
        <v>142</v>
      </c>
      <c r="D24" s="1" t="s">
        <v>143</v>
      </c>
      <c r="E24" s="1" t="s">
        <v>144</v>
      </c>
      <c r="G24" s="9" t="s">
        <v>174</v>
      </c>
      <c r="H24" s="268">
        <f ca="1">H23-H17</f>
        <v>1105.3292410714284</v>
      </c>
      <c r="I24" s="268">
        <f t="shared" ref="I24:J24" ca="1" si="13">I23-I17</f>
        <v>1322.5167410714284</v>
      </c>
      <c r="J24" s="325">
        <f t="shared" ca="1" si="13"/>
        <v>1539.7042410714287</v>
      </c>
      <c r="K24" s="305"/>
      <c r="N24" s="323"/>
      <c r="O24" s="1" t="s">
        <v>142</v>
      </c>
      <c r="P24" s="1" t="s">
        <v>143</v>
      </c>
      <c r="Q24" s="1" t="s">
        <v>144</v>
      </c>
      <c r="S24" s="9" t="s">
        <v>174</v>
      </c>
      <c r="T24" s="268">
        <f ca="1">T23-T17</f>
        <v>1105.3292410714284</v>
      </c>
      <c r="U24" s="268">
        <f t="shared" ref="U24:V24" ca="1" si="14">U23-U17</f>
        <v>1322.5167410714284</v>
      </c>
      <c r="V24" s="325">
        <f t="shared" ca="1" si="14"/>
        <v>1539.7042410714287</v>
      </c>
      <c r="W24" s="268"/>
      <c r="X24" s="268"/>
      <c r="Y24" s="285"/>
      <c r="Z24" s="323"/>
      <c r="AA24" s="1" t="s">
        <v>142</v>
      </c>
      <c r="AB24" s="1" t="s">
        <v>143</v>
      </c>
      <c r="AC24" s="1" t="s">
        <v>144</v>
      </c>
      <c r="AE24" s="9" t="s">
        <v>174</v>
      </c>
      <c r="AF24" s="268">
        <f ca="1">AF23-AF17</f>
        <v>1105.3292410714284</v>
      </c>
      <c r="AG24" s="268">
        <f t="shared" ref="AG24:AH24" ca="1" si="15">AG23-AG17</f>
        <v>1322.5167410714284</v>
      </c>
      <c r="AH24" s="325">
        <f t="shared" ca="1" si="15"/>
        <v>1539.7042410714287</v>
      </c>
      <c r="AI24" s="268"/>
      <c r="AJ24" s="268"/>
      <c r="AK24" s="285"/>
      <c r="AL24" s="323"/>
      <c r="AM24" s="1" t="s">
        <v>142</v>
      </c>
      <c r="AN24" s="1" t="s">
        <v>143</v>
      </c>
      <c r="AO24" s="1" t="s">
        <v>144</v>
      </c>
      <c r="AQ24" s="9" t="s">
        <v>174</v>
      </c>
      <c r="AR24" s="268">
        <f ca="1">AR23-AR17</f>
        <v>1105.3292410714284</v>
      </c>
      <c r="AS24" s="268">
        <f t="shared" ref="AS24:AT24" ca="1" si="16">AS23-AS17</f>
        <v>1322.5167410714284</v>
      </c>
      <c r="AT24" s="325">
        <f t="shared" ca="1" si="16"/>
        <v>1539.7042410714287</v>
      </c>
      <c r="AU24" s="268"/>
      <c r="AV24" s="268"/>
      <c r="AW24" s="285"/>
      <c r="AX24" s="323"/>
      <c r="AY24" s="1" t="s">
        <v>142</v>
      </c>
      <c r="AZ24" s="1" t="s">
        <v>143</v>
      </c>
      <c r="BA24" s="1" t="s">
        <v>144</v>
      </c>
      <c r="BC24" s="9" t="s">
        <v>174</v>
      </c>
      <c r="BD24" s="268">
        <f ca="1">BD23-BD17</f>
        <v>1105.3292410714284</v>
      </c>
      <c r="BE24" s="268">
        <f t="shared" ref="BE24:BF24" ca="1" si="17">BE23-BE17</f>
        <v>1322.5167410714284</v>
      </c>
      <c r="BF24" s="325">
        <f t="shared" ca="1" si="17"/>
        <v>1539.7042410714287</v>
      </c>
      <c r="BG24" s="268"/>
      <c r="BH24" s="268"/>
    </row>
    <row r="25" spans="2:60" ht="17.25" hidden="1" customHeight="1">
      <c r="B25" s="323"/>
      <c r="G25" s="2" t="s">
        <v>175</v>
      </c>
      <c r="H25" s="136">
        <f ca="1">100-((H17*100)/H23)</f>
        <v>64.61425542325884</v>
      </c>
      <c r="I25" s="136">
        <f t="shared" ref="I25:J25" ca="1" si="18">100-((I17*100)/I23)</f>
        <v>61.654829730221905</v>
      </c>
      <c r="J25" s="324">
        <f t="shared" ca="1" si="18"/>
        <v>59.692144603335997</v>
      </c>
      <c r="K25" s="265"/>
      <c r="N25" s="323"/>
      <c r="S25" s="2" t="s">
        <v>175</v>
      </c>
      <c r="T25" s="136">
        <f ca="1">100-((T17*100)/T23)</f>
        <v>64.61425542325884</v>
      </c>
      <c r="U25" s="136">
        <f t="shared" ref="U25:V25" ca="1" si="19">100-((U17*100)/U23)</f>
        <v>61.654829730221905</v>
      </c>
      <c r="V25" s="324">
        <f t="shared" ca="1" si="19"/>
        <v>59.692144603335997</v>
      </c>
      <c r="W25" s="136"/>
      <c r="X25" s="136"/>
      <c r="Y25" s="265"/>
      <c r="Z25" s="323"/>
      <c r="AE25" s="2" t="s">
        <v>175</v>
      </c>
      <c r="AF25" s="136">
        <f ca="1">100-((AF17*100)/AF23)</f>
        <v>64.61425542325884</v>
      </c>
      <c r="AG25" s="136">
        <f t="shared" ref="AG25:AH25" ca="1" si="20">100-((AG17*100)/AG23)</f>
        <v>61.654829730221905</v>
      </c>
      <c r="AH25" s="324">
        <f t="shared" ca="1" si="20"/>
        <v>59.692144603335997</v>
      </c>
      <c r="AI25" s="136"/>
      <c r="AJ25" s="136"/>
      <c r="AK25" s="265"/>
      <c r="AL25" s="323"/>
      <c r="AQ25" s="2" t="s">
        <v>175</v>
      </c>
      <c r="AR25" s="136">
        <f ca="1">100-((AR17*100)/AR23)</f>
        <v>64.61425542325884</v>
      </c>
      <c r="AS25" s="136">
        <f t="shared" ref="AS25:AT25" ca="1" si="21">100-((AS17*100)/AS23)</f>
        <v>61.654829730221905</v>
      </c>
      <c r="AT25" s="324">
        <f t="shared" ca="1" si="21"/>
        <v>59.692144603335997</v>
      </c>
      <c r="AU25" s="136"/>
      <c r="AV25" s="136"/>
      <c r="AW25" s="265"/>
      <c r="AX25" s="323"/>
      <c r="BC25" s="2" t="s">
        <v>175</v>
      </c>
      <c r="BD25" s="136">
        <f ca="1">100-((BD17*100)/BD23)</f>
        <v>64.61425542325884</v>
      </c>
      <c r="BE25" s="136">
        <f t="shared" ref="BE25:BF25" ca="1" si="22">100-((BE17*100)/BE23)</f>
        <v>61.654829730221905</v>
      </c>
      <c r="BF25" s="324">
        <f t="shared" ca="1" si="22"/>
        <v>59.692144603335997</v>
      </c>
      <c r="BG25" s="136"/>
      <c r="BH25" s="136"/>
    </row>
    <row r="26" spans="2:60" ht="17.25" hidden="1" customHeight="1">
      <c r="B26" s="323"/>
      <c r="J26" s="326"/>
      <c r="K26" s="265"/>
      <c r="N26" s="323"/>
      <c r="V26" s="326"/>
      <c r="Y26" s="265"/>
      <c r="Z26" s="323"/>
      <c r="AH26" s="326"/>
      <c r="AK26" s="265"/>
      <c r="AL26" s="323"/>
      <c r="AT26" s="326"/>
      <c r="AW26" s="265"/>
      <c r="AX26" s="323"/>
      <c r="BF26" s="326"/>
    </row>
    <row r="27" spans="2:60" ht="17.25" hidden="1" customHeight="1">
      <c r="B27" s="323"/>
      <c r="G27" s="2" t="s">
        <v>170</v>
      </c>
      <c r="H27" s="136"/>
      <c r="I27" s="269">
        <f>(I28-I29)/H29</f>
        <v>1.6666666666666668E-3</v>
      </c>
      <c r="J27" s="326"/>
      <c r="K27" s="265"/>
      <c r="N27" s="323"/>
      <c r="S27" s="2" t="s">
        <v>170</v>
      </c>
      <c r="T27" s="136"/>
      <c r="U27" s="269">
        <f>(U28-U29)/T29</f>
        <v>1.6666666666666668E-3</v>
      </c>
      <c r="V27" s="326"/>
      <c r="Y27" s="265"/>
      <c r="Z27" s="323"/>
      <c r="AE27" s="2" t="s">
        <v>170</v>
      </c>
      <c r="AF27" s="136"/>
      <c r="AG27" s="269">
        <f>(AG28-AG29)/AF29</f>
        <v>1.6666666666666668E-3</v>
      </c>
      <c r="AH27" s="326"/>
      <c r="AK27" s="265"/>
      <c r="AL27" s="323"/>
      <c r="AQ27" s="2" t="s">
        <v>170</v>
      </c>
      <c r="AR27" s="136"/>
      <c r="AS27" s="269">
        <f>(AS28-AS29)/AR29</f>
        <v>1.6666666666666668E-3</v>
      </c>
      <c r="AT27" s="326"/>
      <c r="AW27" s="265"/>
      <c r="AX27" s="323"/>
      <c r="BC27" s="2" t="s">
        <v>170</v>
      </c>
      <c r="BD27" s="136"/>
      <c r="BE27" s="269">
        <f>(BE28-BE29)/BD29</f>
        <v>1.6666666666666668E-3</v>
      </c>
      <c r="BF27" s="326"/>
    </row>
    <row r="28" spans="2:60" ht="17.25" hidden="1" customHeight="1">
      <c r="B28" s="323"/>
      <c r="G28" s="2" t="s">
        <v>168</v>
      </c>
      <c r="H28" s="136">
        <v>2000</v>
      </c>
      <c r="I28" s="136">
        <v>50</v>
      </c>
      <c r="J28" s="326" t="s">
        <v>167</v>
      </c>
      <c r="K28" s="265"/>
      <c r="N28" s="323"/>
      <c r="S28" s="2" t="s">
        <v>168</v>
      </c>
      <c r="T28" s="136">
        <v>1</v>
      </c>
      <c r="U28" s="136">
        <v>50</v>
      </c>
      <c r="V28" s="326" t="s">
        <v>167</v>
      </c>
      <c r="Y28" s="265"/>
      <c r="Z28" s="323"/>
      <c r="AE28" s="2" t="s">
        <v>168</v>
      </c>
      <c r="AF28" s="136">
        <v>1</v>
      </c>
      <c r="AG28" s="136">
        <v>50</v>
      </c>
      <c r="AH28" s="326" t="s">
        <v>167</v>
      </c>
      <c r="AK28" s="265"/>
      <c r="AL28" s="323"/>
      <c r="AQ28" s="2" t="s">
        <v>168</v>
      </c>
      <c r="AR28" s="136">
        <v>1</v>
      </c>
      <c r="AS28" s="136">
        <v>50</v>
      </c>
      <c r="AT28" s="326" t="s">
        <v>167</v>
      </c>
      <c r="AW28" s="265"/>
      <c r="AX28" s="323"/>
      <c r="BC28" s="2" t="s">
        <v>168</v>
      </c>
      <c r="BD28" s="136">
        <v>1</v>
      </c>
      <c r="BE28" s="136">
        <v>50</v>
      </c>
      <c r="BF28" s="326" t="s">
        <v>167</v>
      </c>
    </row>
    <row r="29" spans="2:60" ht="17.25" hidden="1" customHeight="1">
      <c r="B29" s="323"/>
      <c r="G29" s="2" t="s">
        <v>169</v>
      </c>
      <c r="H29" s="136">
        <v>15000</v>
      </c>
      <c r="I29" s="136">
        <v>25</v>
      </c>
      <c r="J29" s="326" t="s">
        <v>167</v>
      </c>
      <c r="N29" s="323"/>
      <c r="S29" s="2" t="s">
        <v>169</v>
      </c>
      <c r="T29" s="136">
        <v>15000</v>
      </c>
      <c r="U29" s="136">
        <v>25</v>
      </c>
      <c r="V29" s="326" t="s">
        <v>167</v>
      </c>
      <c r="Z29" s="323"/>
      <c r="AE29" s="2" t="s">
        <v>169</v>
      </c>
      <c r="AF29" s="136">
        <v>15000</v>
      </c>
      <c r="AG29" s="136">
        <v>25</v>
      </c>
      <c r="AH29" s="326" t="s">
        <v>167</v>
      </c>
      <c r="AL29" s="323"/>
      <c r="AQ29" s="2" t="s">
        <v>169</v>
      </c>
      <c r="AR29" s="136">
        <v>15000</v>
      </c>
      <c r="AS29" s="136">
        <v>25</v>
      </c>
      <c r="AT29" s="326" t="s">
        <v>167</v>
      </c>
      <c r="AX29" s="323"/>
      <c r="BC29" s="2" t="s">
        <v>169</v>
      </c>
      <c r="BD29" s="136">
        <v>15000</v>
      </c>
      <c r="BE29" s="136">
        <v>25</v>
      </c>
      <c r="BF29" s="326" t="s">
        <v>167</v>
      </c>
    </row>
    <row r="30" spans="2:60" ht="17.25" customHeight="1">
      <c r="B30" s="327">
        <v>1</v>
      </c>
      <c r="C30" s="310"/>
      <c r="D30" s="310"/>
      <c r="E30" s="310"/>
      <c r="F30" s="310"/>
      <c r="G30" s="310"/>
      <c r="H30" s="310">
        <f>$B30</f>
        <v>1</v>
      </c>
      <c r="I30" s="310">
        <f>$B30</f>
        <v>1</v>
      </c>
      <c r="J30" s="328">
        <f>$B30</f>
        <v>1</v>
      </c>
      <c r="N30" s="327"/>
      <c r="O30" s="310"/>
      <c r="P30" s="310"/>
      <c r="Q30" s="310"/>
      <c r="R30" s="310"/>
      <c r="S30" s="310"/>
      <c r="T30" s="310">
        <f>$B30</f>
        <v>1</v>
      </c>
      <c r="U30" s="310">
        <f>$B30</f>
        <v>1</v>
      </c>
      <c r="V30" s="328">
        <f>$B30</f>
        <v>1</v>
      </c>
      <c r="Z30" s="327"/>
      <c r="AA30" s="310"/>
      <c r="AB30" s="310"/>
      <c r="AC30" s="310"/>
      <c r="AD30" s="310"/>
      <c r="AE30" s="310"/>
      <c r="AF30" s="310">
        <f>$B30</f>
        <v>1</v>
      </c>
      <c r="AG30" s="310">
        <f>$B30</f>
        <v>1</v>
      </c>
      <c r="AH30" s="328">
        <f>$B30</f>
        <v>1</v>
      </c>
      <c r="AL30" s="327"/>
      <c r="AM30" s="310"/>
      <c r="AN30" s="310"/>
      <c r="AO30" s="310"/>
      <c r="AP30" s="310"/>
      <c r="AQ30" s="310"/>
      <c r="AR30" s="310">
        <f>$B30</f>
        <v>1</v>
      </c>
      <c r="AS30" s="310">
        <f>$B30</f>
        <v>1</v>
      </c>
      <c r="AT30" s="328">
        <f>$B30</f>
        <v>1</v>
      </c>
      <c r="AX30" s="327"/>
      <c r="AY30" s="310"/>
      <c r="AZ30" s="310"/>
      <c r="BA30" s="310"/>
      <c r="BB30" s="310"/>
      <c r="BC30" s="310"/>
      <c r="BD30" s="310">
        <f>$B30</f>
        <v>1</v>
      </c>
      <c r="BE30" s="310">
        <f>$B30</f>
        <v>1</v>
      </c>
      <c r="BF30" s="328">
        <f>$B30</f>
        <v>1</v>
      </c>
    </row>
    <row r="31" spans="2:60" ht="17.25" customHeight="1">
      <c r="B31" s="323"/>
      <c r="F31" s="1" t="s">
        <v>275</v>
      </c>
      <c r="G31" s="287" t="str">
        <f>C9</f>
        <v>cool</v>
      </c>
      <c r="H31" s="336" t="s">
        <v>253</v>
      </c>
      <c r="I31" s="336" t="s">
        <v>252</v>
      </c>
      <c r="J31" s="329" t="s">
        <v>254</v>
      </c>
      <c r="N31" s="323"/>
      <c r="R31" s="1" t="s">
        <v>275</v>
      </c>
      <c r="S31" s="287" t="str">
        <f>O9</f>
        <v>cool</v>
      </c>
      <c r="T31" s="336" t="s">
        <v>253</v>
      </c>
      <c r="U31" s="336" t="s">
        <v>252</v>
      </c>
      <c r="V31" s="329" t="s">
        <v>254</v>
      </c>
      <c r="Z31" s="323"/>
      <c r="AD31" s="1" t="s">
        <v>275</v>
      </c>
      <c r="AE31" s="287" t="str">
        <f>AA9</f>
        <v>cool</v>
      </c>
      <c r="AF31" s="336" t="s">
        <v>253</v>
      </c>
      <c r="AG31" s="336" t="s">
        <v>252</v>
      </c>
      <c r="AH31" s="329" t="s">
        <v>254</v>
      </c>
      <c r="AL31" s="323"/>
      <c r="AP31" s="1" t="s">
        <v>275</v>
      </c>
      <c r="AQ31" s="287" t="str">
        <f>AM9</f>
        <v>cool</v>
      </c>
      <c r="AR31" s="336" t="s">
        <v>253</v>
      </c>
      <c r="AS31" s="336" t="s">
        <v>252</v>
      </c>
      <c r="AT31" s="329" t="s">
        <v>254</v>
      </c>
      <c r="AX31" s="323"/>
      <c r="BB31" s="1" t="s">
        <v>275</v>
      </c>
      <c r="BC31" s="287" t="str">
        <f>AY9</f>
        <v>cool</v>
      </c>
      <c r="BD31" s="336" t="s">
        <v>253</v>
      </c>
      <c r="BE31" s="336" t="s">
        <v>252</v>
      </c>
      <c r="BF31" s="329" t="s">
        <v>254</v>
      </c>
    </row>
    <row r="32" spans="2:60" ht="17.25" customHeight="1">
      <c r="B32" s="429" t="s">
        <v>272</v>
      </c>
      <c r="C32" s="430"/>
      <c r="D32" s="430"/>
      <c r="E32" s="430"/>
      <c r="F32" s="431"/>
      <c r="G32" s="287" t="s">
        <v>247</v>
      </c>
      <c r="H32" s="337">
        <f ca="1">B65*C5</f>
        <v>822.51674107142856</v>
      </c>
      <c r="I32" s="341">
        <f ca="1">(H32*I34)/H34</f>
        <v>71.833422681417233</v>
      </c>
      <c r="J32" s="330">
        <f ca="1">H32/C$5</f>
        <v>1.6450334821428572</v>
      </c>
      <c r="N32" s="429" t="s">
        <v>272</v>
      </c>
      <c r="O32" s="430"/>
      <c r="P32" s="430"/>
      <c r="Q32" s="430"/>
      <c r="R32" s="431"/>
      <c r="S32" s="287" t="s">
        <v>247</v>
      </c>
      <c r="T32" s="337">
        <f ca="1">N65*O5</f>
        <v>822.51674107142856</v>
      </c>
      <c r="U32" s="341">
        <f ca="1">(T32*U34)/T34</f>
        <v>71.833422681417233</v>
      </c>
      <c r="V32" s="330">
        <f ca="1">T32/O$5</f>
        <v>1.6450334821428572</v>
      </c>
      <c r="Z32" s="429" t="s">
        <v>272</v>
      </c>
      <c r="AA32" s="430"/>
      <c r="AB32" s="430"/>
      <c r="AC32" s="430"/>
      <c r="AD32" s="431"/>
      <c r="AE32" s="287" t="s">
        <v>247</v>
      </c>
      <c r="AF32" s="337">
        <f ca="1">Z65*AA5</f>
        <v>822.51674107142856</v>
      </c>
      <c r="AG32" s="341">
        <f ca="1">(AF32*AG34)/AF34</f>
        <v>71.833422681417233</v>
      </c>
      <c r="AH32" s="330">
        <f ca="1">AF32/AA$5</f>
        <v>1.6450334821428572</v>
      </c>
      <c r="AL32" s="429" t="s">
        <v>272</v>
      </c>
      <c r="AM32" s="430"/>
      <c r="AN32" s="430"/>
      <c r="AO32" s="430"/>
      <c r="AP32" s="431"/>
      <c r="AQ32" s="287" t="s">
        <v>247</v>
      </c>
      <c r="AR32" s="337">
        <f ca="1">AL65*AM5</f>
        <v>822.51674107142856</v>
      </c>
      <c r="AS32" s="341">
        <f ca="1">(AR32*AS34)/AR34</f>
        <v>71.833422681417233</v>
      </c>
      <c r="AT32" s="330">
        <f ca="1">AR32/AM$5</f>
        <v>1.6450334821428572</v>
      </c>
      <c r="AX32" s="429" t="s">
        <v>272</v>
      </c>
      <c r="AY32" s="430"/>
      <c r="AZ32" s="430"/>
      <c r="BA32" s="430"/>
      <c r="BB32" s="431"/>
      <c r="BC32" s="287" t="s">
        <v>247</v>
      </c>
      <c r="BD32" s="337">
        <f ca="1">AX65*AY5</f>
        <v>822.51674107142856</v>
      </c>
      <c r="BE32" s="341">
        <f ca="1">(BD32*BE34)/BD34</f>
        <v>71.833422681417233</v>
      </c>
      <c r="BF32" s="330">
        <f ca="1">BD32/AY$5</f>
        <v>1.6450334821428572</v>
      </c>
    </row>
    <row r="33" spans="2:58" ht="17.25" customHeight="1">
      <c r="B33" s="432"/>
      <c r="C33" s="433"/>
      <c r="D33" s="433"/>
      <c r="E33" s="433"/>
      <c r="F33" s="434"/>
      <c r="G33" s="218" t="s">
        <v>250</v>
      </c>
      <c r="H33" s="338">
        <f ca="1">H34-H32</f>
        <v>322.51674107142833</v>
      </c>
      <c r="I33" s="61">
        <f ca="1">I34-I32</f>
        <v>28.166577318582767</v>
      </c>
      <c r="J33" s="331">
        <f t="shared" ref="J33:J38" ca="1" si="23">H33/C$5</f>
        <v>0.64503348214285661</v>
      </c>
      <c r="N33" s="432"/>
      <c r="O33" s="433"/>
      <c r="P33" s="433"/>
      <c r="Q33" s="433"/>
      <c r="R33" s="434"/>
      <c r="S33" s="218" t="s">
        <v>250</v>
      </c>
      <c r="T33" s="338">
        <f ca="1">T34-T32</f>
        <v>322.51674107142833</v>
      </c>
      <c r="U33" s="61">
        <f ca="1">U34-U32</f>
        <v>28.166577318582767</v>
      </c>
      <c r="V33" s="331">
        <f t="shared" ref="V33:V38" ca="1" si="24">T33/O$5</f>
        <v>0.64503348214285661</v>
      </c>
      <c r="Z33" s="432"/>
      <c r="AA33" s="433"/>
      <c r="AB33" s="433"/>
      <c r="AC33" s="433"/>
      <c r="AD33" s="434"/>
      <c r="AE33" s="218" t="s">
        <v>250</v>
      </c>
      <c r="AF33" s="338">
        <f ca="1">AF34-AF32</f>
        <v>322.51674107142833</v>
      </c>
      <c r="AG33" s="61">
        <f ca="1">AG34-AG32</f>
        <v>28.166577318582767</v>
      </c>
      <c r="AH33" s="331">
        <f t="shared" ref="AH33:AH38" ca="1" si="25">AF33/AA$5</f>
        <v>0.64503348214285661</v>
      </c>
      <c r="AL33" s="432"/>
      <c r="AM33" s="433"/>
      <c r="AN33" s="433"/>
      <c r="AO33" s="433"/>
      <c r="AP33" s="434"/>
      <c r="AQ33" s="218" t="s">
        <v>250</v>
      </c>
      <c r="AR33" s="338">
        <f ca="1">AR34-AR32</f>
        <v>322.51674107142833</v>
      </c>
      <c r="AS33" s="61">
        <f ca="1">AS34-AS32</f>
        <v>28.166577318582767</v>
      </c>
      <c r="AT33" s="331">
        <f t="shared" ref="AT33:AT38" ca="1" si="26">AR33/AM$5</f>
        <v>0.64503348214285661</v>
      </c>
      <c r="AX33" s="432"/>
      <c r="AY33" s="433"/>
      <c r="AZ33" s="433"/>
      <c r="BA33" s="433"/>
      <c r="BB33" s="434"/>
      <c r="BC33" s="218" t="s">
        <v>250</v>
      </c>
      <c r="BD33" s="338">
        <f ca="1">BD34-BD32</f>
        <v>322.51674107142833</v>
      </c>
      <c r="BE33" s="61">
        <f ca="1">BE34-BE32</f>
        <v>28.166577318582767</v>
      </c>
      <c r="BF33" s="331">
        <f t="shared" ref="BF33:BF38" ca="1" si="27">BD33/AY$5</f>
        <v>0.64503348214285661</v>
      </c>
    </row>
    <row r="34" spans="2:58" ht="17.25" customHeight="1">
      <c r="B34" s="435"/>
      <c r="C34" s="436"/>
      <c r="D34" s="436"/>
      <c r="E34" s="436"/>
      <c r="F34" s="437"/>
      <c r="G34" s="304" t="s">
        <v>248</v>
      </c>
      <c r="H34" s="339">
        <f ca="1">(E9*C5)-1000</f>
        <v>1145.0334821428569</v>
      </c>
      <c r="I34" s="342">
        <v>100</v>
      </c>
      <c r="J34" s="332">
        <f t="shared" ca="1" si="23"/>
        <v>2.2900669642857139</v>
      </c>
      <c r="N34" s="435"/>
      <c r="O34" s="436"/>
      <c r="P34" s="436"/>
      <c r="Q34" s="436"/>
      <c r="R34" s="437"/>
      <c r="S34" s="304" t="s">
        <v>248</v>
      </c>
      <c r="T34" s="339">
        <f ca="1">(Q9*O5)-1000</f>
        <v>1145.0334821428569</v>
      </c>
      <c r="U34" s="342">
        <v>100</v>
      </c>
      <c r="V34" s="332">
        <f t="shared" ca="1" si="24"/>
        <v>2.2900669642857139</v>
      </c>
      <c r="Z34" s="435"/>
      <c r="AA34" s="436"/>
      <c r="AB34" s="436"/>
      <c r="AC34" s="436"/>
      <c r="AD34" s="437"/>
      <c r="AE34" s="304" t="s">
        <v>248</v>
      </c>
      <c r="AF34" s="339">
        <f ca="1">(AC9*AA5)-1000</f>
        <v>1145.0334821428569</v>
      </c>
      <c r="AG34" s="342">
        <v>100</v>
      </c>
      <c r="AH34" s="332">
        <f t="shared" ca="1" si="25"/>
        <v>2.2900669642857139</v>
      </c>
      <c r="AL34" s="435"/>
      <c r="AM34" s="436"/>
      <c r="AN34" s="436"/>
      <c r="AO34" s="436"/>
      <c r="AP34" s="437"/>
      <c r="AQ34" s="304" t="s">
        <v>248</v>
      </c>
      <c r="AR34" s="339">
        <f ca="1">(AO9*AM5)-1000</f>
        <v>1145.0334821428569</v>
      </c>
      <c r="AS34" s="342">
        <v>100</v>
      </c>
      <c r="AT34" s="332">
        <f t="shared" ca="1" si="26"/>
        <v>2.2900669642857139</v>
      </c>
      <c r="AX34" s="435"/>
      <c r="AY34" s="436"/>
      <c r="AZ34" s="436"/>
      <c r="BA34" s="436"/>
      <c r="BB34" s="437"/>
      <c r="BC34" s="304" t="s">
        <v>248</v>
      </c>
      <c r="BD34" s="339">
        <f ca="1">(BA9*AY5)-1000</f>
        <v>1145.0334821428569</v>
      </c>
      <c r="BE34" s="342">
        <v>100</v>
      </c>
      <c r="BF34" s="332">
        <f t="shared" ca="1" si="27"/>
        <v>2.2900669642857139</v>
      </c>
    </row>
    <row r="35" spans="2:58" ht="17.25" customHeight="1">
      <c r="B35" s="323"/>
      <c r="H35" s="340" t="s">
        <v>253</v>
      </c>
      <c r="I35" s="340" t="s">
        <v>252</v>
      </c>
      <c r="J35" s="333" t="s">
        <v>254</v>
      </c>
      <c r="N35" s="323"/>
      <c r="T35" s="340" t="s">
        <v>253</v>
      </c>
      <c r="U35" s="340" t="s">
        <v>252</v>
      </c>
      <c r="V35" s="333" t="s">
        <v>254</v>
      </c>
      <c r="Z35" s="323"/>
      <c r="AF35" s="340" t="s">
        <v>253</v>
      </c>
      <c r="AG35" s="340" t="s">
        <v>252</v>
      </c>
      <c r="AH35" s="333" t="s">
        <v>254</v>
      </c>
      <c r="AL35" s="323"/>
      <c r="AR35" s="340" t="s">
        <v>253</v>
      </c>
      <c r="AS35" s="340" t="s">
        <v>252</v>
      </c>
      <c r="AT35" s="333" t="s">
        <v>254</v>
      </c>
      <c r="AX35" s="323"/>
      <c r="BD35" s="340" t="s">
        <v>253</v>
      </c>
      <c r="BE35" s="340" t="s">
        <v>252</v>
      </c>
      <c r="BF35" s="333" t="s">
        <v>254</v>
      </c>
    </row>
    <row r="36" spans="2:58" ht="17.25" customHeight="1">
      <c r="B36" s="429" t="s">
        <v>273</v>
      </c>
      <c r="C36" s="430"/>
      <c r="D36" s="430"/>
      <c r="E36" s="430"/>
      <c r="F36" s="431"/>
      <c r="G36" s="304" t="s">
        <v>247</v>
      </c>
      <c r="H36" s="339">
        <f ca="1">B65*C5</f>
        <v>822.51674107142856</v>
      </c>
      <c r="I36" s="342">
        <f ca="1">(H36*I38)/H38</f>
        <v>38.345170269778095</v>
      </c>
      <c r="J36" s="332">
        <f t="shared" ca="1" si="23"/>
        <v>1.6450334821428572</v>
      </c>
      <c r="N36" s="429" t="s">
        <v>273</v>
      </c>
      <c r="O36" s="430"/>
      <c r="P36" s="430"/>
      <c r="Q36" s="430"/>
      <c r="R36" s="431"/>
      <c r="S36" s="304" t="s">
        <v>247</v>
      </c>
      <c r="T36" s="339">
        <f ca="1">N65*O5</f>
        <v>822.51674107142856</v>
      </c>
      <c r="U36" s="342">
        <f ca="1">(T36*U38)/T38</f>
        <v>38.345170269778095</v>
      </c>
      <c r="V36" s="332">
        <f t="shared" ca="1" si="24"/>
        <v>1.6450334821428572</v>
      </c>
      <c r="Z36" s="429" t="s">
        <v>273</v>
      </c>
      <c r="AA36" s="430"/>
      <c r="AB36" s="430"/>
      <c r="AC36" s="430"/>
      <c r="AD36" s="431"/>
      <c r="AE36" s="304" t="s">
        <v>247</v>
      </c>
      <c r="AF36" s="339">
        <f ca="1">Z65*AA5</f>
        <v>822.51674107142856</v>
      </c>
      <c r="AG36" s="342">
        <f ca="1">(AF36*AG38)/AF38</f>
        <v>38.345170269778095</v>
      </c>
      <c r="AH36" s="332">
        <f t="shared" ca="1" si="25"/>
        <v>1.6450334821428572</v>
      </c>
      <c r="AL36" s="429" t="s">
        <v>273</v>
      </c>
      <c r="AM36" s="430"/>
      <c r="AN36" s="430"/>
      <c r="AO36" s="430"/>
      <c r="AP36" s="431"/>
      <c r="AQ36" s="304" t="s">
        <v>247</v>
      </c>
      <c r="AR36" s="339">
        <f ca="1">AL65*AM5</f>
        <v>822.51674107142856</v>
      </c>
      <c r="AS36" s="342">
        <f ca="1">(AR36*AS38)/AR38</f>
        <v>38.345170269778095</v>
      </c>
      <c r="AT36" s="332">
        <f t="shared" ca="1" si="26"/>
        <v>1.6450334821428572</v>
      </c>
      <c r="AX36" s="429" t="s">
        <v>273</v>
      </c>
      <c r="AY36" s="430"/>
      <c r="AZ36" s="430"/>
      <c r="BA36" s="430"/>
      <c r="BB36" s="431"/>
      <c r="BC36" s="304" t="s">
        <v>247</v>
      </c>
      <c r="BD36" s="339">
        <f ca="1">AX65*AY5</f>
        <v>822.51674107142856</v>
      </c>
      <c r="BE36" s="342">
        <f ca="1">(BD36*BE38)/BD38</f>
        <v>38.345170269778095</v>
      </c>
      <c r="BF36" s="332">
        <f t="shared" ca="1" si="27"/>
        <v>1.6450334821428572</v>
      </c>
    </row>
    <row r="37" spans="2:58" ht="17.25" customHeight="1">
      <c r="B37" s="432"/>
      <c r="C37" s="433"/>
      <c r="D37" s="433"/>
      <c r="E37" s="433"/>
      <c r="F37" s="434"/>
      <c r="G37" s="218" t="s">
        <v>251</v>
      </c>
      <c r="H37" s="338">
        <f ca="1">H33+H22</f>
        <v>822.51674107142833</v>
      </c>
      <c r="I37" s="61">
        <f ca="1">I38-I36</f>
        <v>61.654829730221905</v>
      </c>
      <c r="J37" s="331">
        <f t="shared" ca="1" si="23"/>
        <v>1.6450334821428567</v>
      </c>
      <c r="N37" s="432"/>
      <c r="O37" s="433"/>
      <c r="P37" s="433"/>
      <c r="Q37" s="433"/>
      <c r="R37" s="434"/>
      <c r="S37" s="218" t="s">
        <v>251</v>
      </c>
      <c r="T37" s="338">
        <f ca="1">T33+T22</f>
        <v>822.51674107142833</v>
      </c>
      <c r="U37" s="61">
        <f ca="1">U38-U36</f>
        <v>61.654829730221905</v>
      </c>
      <c r="V37" s="331">
        <f t="shared" ca="1" si="24"/>
        <v>1.6450334821428567</v>
      </c>
      <c r="Z37" s="432"/>
      <c r="AA37" s="433"/>
      <c r="AB37" s="433"/>
      <c r="AC37" s="433"/>
      <c r="AD37" s="434"/>
      <c r="AE37" s="218" t="s">
        <v>251</v>
      </c>
      <c r="AF37" s="338">
        <f ca="1">AF33+AF22</f>
        <v>822.51674107142833</v>
      </c>
      <c r="AG37" s="61">
        <f ca="1">AG38-AG36</f>
        <v>61.654829730221905</v>
      </c>
      <c r="AH37" s="331">
        <f t="shared" ca="1" si="25"/>
        <v>1.6450334821428567</v>
      </c>
      <c r="AL37" s="432"/>
      <c r="AM37" s="433"/>
      <c r="AN37" s="433"/>
      <c r="AO37" s="433"/>
      <c r="AP37" s="434"/>
      <c r="AQ37" s="218" t="s">
        <v>251</v>
      </c>
      <c r="AR37" s="338">
        <f ca="1">AR33+AR22</f>
        <v>822.51674107142833</v>
      </c>
      <c r="AS37" s="61">
        <f ca="1">AS38-AS36</f>
        <v>61.654829730221905</v>
      </c>
      <c r="AT37" s="331">
        <f t="shared" ca="1" si="26"/>
        <v>1.6450334821428567</v>
      </c>
      <c r="AX37" s="432"/>
      <c r="AY37" s="433"/>
      <c r="AZ37" s="433"/>
      <c r="BA37" s="433"/>
      <c r="BB37" s="434"/>
      <c r="BC37" s="218" t="s">
        <v>251</v>
      </c>
      <c r="BD37" s="338">
        <f ca="1">BD33+BD22</f>
        <v>822.51674107142833</v>
      </c>
      <c r="BE37" s="61">
        <f ca="1">BE38-BE36</f>
        <v>61.654829730221905</v>
      </c>
      <c r="BF37" s="331">
        <f t="shared" ca="1" si="27"/>
        <v>1.6450334821428567</v>
      </c>
    </row>
    <row r="38" spans="2:58" ht="17.25" customHeight="1">
      <c r="B38" s="435"/>
      <c r="C38" s="436"/>
      <c r="D38" s="436"/>
      <c r="E38" s="436"/>
      <c r="F38" s="437"/>
      <c r="G38" s="304" t="s">
        <v>249</v>
      </c>
      <c r="H38" s="339">
        <f ca="1">E9*C5</f>
        <v>2145.0334821428569</v>
      </c>
      <c r="I38" s="342">
        <v>100</v>
      </c>
      <c r="J38" s="332">
        <f t="shared" ca="1" si="23"/>
        <v>4.2900669642857139</v>
      </c>
      <c r="N38" s="435"/>
      <c r="O38" s="436"/>
      <c r="P38" s="436"/>
      <c r="Q38" s="436"/>
      <c r="R38" s="437"/>
      <c r="S38" s="304" t="s">
        <v>249</v>
      </c>
      <c r="T38" s="339">
        <f ca="1">Q9*O5</f>
        <v>2145.0334821428569</v>
      </c>
      <c r="U38" s="342">
        <v>100</v>
      </c>
      <c r="V38" s="332">
        <f t="shared" ca="1" si="24"/>
        <v>4.2900669642857139</v>
      </c>
      <c r="Z38" s="435"/>
      <c r="AA38" s="436"/>
      <c r="AB38" s="436"/>
      <c r="AC38" s="436"/>
      <c r="AD38" s="437"/>
      <c r="AE38" s="304" t="s">
        <v>249</v>
      </c>
      <c r="AF38" s="339">
        <f ca="1">AC9*AA5</f>
        <v>2145.0334821428569</v>
      </c>
      <c r="AG38" s="342">
        <v>100</v>
      </c>
      <c r="AH38" s="332">
        <f t="shared" ca="1" si="25"/>
        <v>4.2900669642857139</v>
      </c>
      <c r="AL38" s="435"/>
      <c r="AM38" s="436"/>
      <c r="AN38" s="436"/>
      <c r="AO38" s="436"/>
      <c r="AP38" s="437"/>
      <c r="AQ38" s="304" t="s">
        <v>249</v>
      </c>
      <c r="AR38" s="339">
        <f ca="1">AO9*AM5</f>
        <v>2145.0334821428569</v>
      </c>
      <c r="AS38" s="342">
        <v>100</v>
      </c>
      <c r="AT38" s="332">
        <f t="shared" ca="1" si="26"/>
        <v>4.2900669642857139</v>
      </c>
      <c r="AX38" s="435"/>
      <c r="AY38" s="436"/>
      <c r="AZ38" s="436"/>
      <c r="BA38" s="436"/>
      <c r="BB38" s="437"/>
      <c r="BC38" s="304" t="s">
        <v>249</v>
      </c>
      <c r="BD38" s="339">
        <f ca="1">BA9*AY5</f>
        <v>2145.0334821428569</v>
      </c>
      <c r="BE38" s="342">
        <v>100</v>
      </c>
      <c r="BF38" s="332">
        <f t="shared" ca="1" si="27"/>
        <v>4.2900669642857139</v>
      </c>
    </row>
    <row r="39" spans="2:58" ht="17.25" customHeight="1">
      <c r="B39" s="323"/>
      <c r="G39" s="218"/>
      <c r="H39" s="340" t="s">
        <v>253</v>
      </c>
      <c r="I39" s="340" t="s">
        <v>252</v>
      </c>
      <c r="J39" s="333" t="s">
        <v>254</v>
      </c>
      <c r="N39" s="323"/>
      <c r="S39" s="218"/>
      <c r="T39" s="340" t="s">
        <v>253</v>
      </c>
      <c r="U39" s="340" t="s">
        <v>252</v>
      </c>
      <c r="V39" s="333" t="s">
        <v>254</v>
      </c>
      <c r="Z39" s="323"/>
      <c r="AE39" s="218"/>
      <c r="AF39" s="340" t="s">
        <v>253</v>
      </c>
      <c r="AG39" s="340" t="s">
        <v>252</v>
      </c>
      <c r="AH39" s="333" t="s">
        <v>254</v>
      </c>
      <c r="AL39" s="323"/>
      <c r="AQ39" s="218"/>
      <c r="AR39" s="340" t="s">
        <v>253</v>
      </c>
      <c r="AS39" s="340" t="s">
        <v>252</v>
      </c>
      <c r="AT39" s="333" t="s">
        <v>254</v>
      </c>
      <c r="AX39" s="323"/>
      <c r="BC39" s="218"/>
      <c r="BD39" s="340" t="s">
        <v>253</v>
      </c>
      <c r="BE39" s="340" t="s">
        <v>252</v>
      </c>
      <c r="BF39" s="333" t="s">
        <v>254</v>
      </c>
    </row>
    <row r="40" spans="2:58" ht="17.25" customHeight="1">
      <c r="B40" s="438" t="s">
        <v>274</v>
      </c>
      <c r="C40" s="439"/>
      <c r="D40" s="439"/>
      <c r="E40" s="439"/>
      <c r="F40" s="440"/>
      <c r="G40" s="287" t="s">
        <v>255</v>
      </c>
      <c r="H40" s="337">
        <f ca="1">C5*B67</f>
        <v>170.95424107142858</v>
      </c>
      <c r="I40" s="341">
        <f ca="1">(H40*I42)/H42</f>
        <v>7.9697702853872388</v>
      </c>
      <c r="J40" s="330">
        <f ca="1">B67</f>
        <v>0.34190848214285718</v>
      </c>
      <c r="N40" s="438" t="s">
        <v>274</v>
      </c>
      <c r="O40" s="439"/>
      <c r="P40" s="439"/>
      <c r="Q40" s="439"/>
      <c r="R40" s="440"/>
      <c r="S40" s="287" t="s">
        <v>255</v>
      </c>
      <c r="T40" s="337">
        <f ca="1">O5*N67</f>
        <v>170.95424107142858</v>
      </c>
      <c r="U40" s="341">
        <f ca="1">(T40*U42)/T42</f>
        <v>7.9697702853872388</v>
      </c>
      <c r="V40" s="330">
        <f ca="1">N67</f>
        <v>0.34190848214285718</v>
      </c>
      <c r="Z40" s="438" t="s">
        <v>274</v>
      </c>
      <c r="AA40" s="439"/>
      <c r="AB40" s="439"/>
      <c r="AC40" s="439"/>
      <c r="AD40" s="440"/>
      <c r="AE40" s="287" t="s">
        <v>255</v>
      </c>
      <c r="AF40" s="337">
        <f ca="1">AA5*Z67</f>
        <v>170.95424107142858</v>
      </c>
      <c r="AG40" s="341">
        <f ca="1">(AF40*AG42)/AF42</f>
        <v>7.9697702853872388</v>
      </c>
      <c r="AH40" s="330">
        <f ca="1">Z67</f>
        <v>0.34190848214285718</v>
      </c>
      <c r="AL40" s="438" t="s">
        <v>274</v>
      </c>
      <c r="AM40" s="439"/>
      <c r="AN40" s="439"/>
      <c r="AO40" s="439"/>
      <c r="AP40" s="440"/>
      <c r="AQ40" s="287" t="s">
        <v>255</v>
      </c>
      <c r="AR40" s="337">
        <f ca="1">AM5*AL67</f>
        <v>170.95424107142858</v>
      </c>
      <c r="AS40" s="341">
        <f ca="1">(AR40*AS42)/AR42</f>
        <v>7.9697702853872388</v>
      </c>
      <c r="AT40" s="330">
        <f ca="1">AL67</f>
        <v>0.34190848214285718</v>
      </c>
      <c r="AX40" s="438" t="s">
        <v>274</v>
      </c>
      <c r="AY40" s="439"/>
      <c r="AZ40" s="439"/>
      <c r="BA40" s="439"/>
      <c r="BB40" s="440"/>
      <c r="BC40" s="287" t="s">
        <v>255</v>
      </c>
      <c r="BD40" s="337">
        <f ca="1">AY5*AX67</f>
        <v>170.95424107142858</v>
      </c>
      <c r="BE40" s="341">
        <f ca="1">(BD40*BE42)/BD42</f>
        <v>7.9697702853872388</v>
      </c>
      <c r="BF40" s="330">
        <f ca="1">AX67</f>
        <v>0.34190848214285718</v>
      </c>
    </row>
    <row r="41" spans="2:58" ht="17.25" customHeight="1">
      <c r="B41" s="441"/>
      <c r="C41" s="442"/>
      <c r="D41" s="442"/>
      <c r="E41" s="442"/>
      <c r="F41" s="443"/>
      <c r="G41" s="218" t="s">
        <v>259</v>
      </c>
      <c r="H41" s="338">
        <f ca="1">H42-H40</f>
        <v>1974.0792410714282</v>
      </c>
      <c r="I41" s="61">
        <f ca="1">I42-I40</f>
        <v>92.030229714612759</v>
      </c>
      <c r="J41" s="331">
        <f ca="1">J42-J40</f>
        <v>3.9481584821428566</v>
      </c>
      <c r="N41" s="441"/>
      <c r="O41" s="442"/>
      <c r="P41" s="442"/>
      <c r="Q41" s="442"/>
      <c r="R41" s="443"/>
      <c r="S41" s="218" t="s">
        <v>259</v>
      </c>
      <c r="T41" s="338">
        <f ca="1">T42-T40</f>
        <v>1974.0792410714282</v>
      </c>
      <c r="U41" s="61">
        <f ca="1">U42-U40</f>
        <v>92.030229714612759</v>
      </c>
      <c r="V41" s="331">
        <f ca="1">V42-V40</f>
        <v>3.9481584821428566</v>
      </c>
      <c r="Z41" s="441"/>
      <c r="AA41" s="442"/>
      <c r="AB41" s="442"/>
      <c r="AC41" s="442"/>
      <c r="AD41" s="443"/>
      <c r="AE41" s="218" t="s">
        <v>259</v>
      </c>
      <c r="AF41" s="338">
        <f ca="1">AF42-AF40</f>
        <v>1974.0792410714282</v>
      </c>
      <c r="AG41" s="61">
        <f ca="1">AG42-AG40</f>
        <v>92.030229714612759</v>
      </c>
      <c r="AH41" s="331">
        <f ca="1">AH42-AH40</f>
        <v>3.9481584821428566</v>
      </c>
      <c r="AL41" s="441"/>
      <c r="AM41" s="442"/>
      <c r="AN41" s="442"/>
      <c r="AO41" s="442"/>
      <c r="AP41" s="443"/>
      <c r="AQ41" s="218" t="s">
        <v>259</v>
      </c>
      <c r="AR41" s="338">
        <f ca="1">AR42-AR40</f>
        <v>1974.0792410714282</v>
      </c>
      <c r="AS41" s="61">
        <f ca="1">AS42-AS40</f>
        <v>92.030229714612759</v>
      </c>
      <c r="AT41" s="331">
        <f ca="1">AT42-AT40</f>
        <v>3.9481584821428566</v>
      </c>
      <c r="AX41" s="441"/>
      <c r="AY41" s="442"/>
      <c r="AZ41" s="442"/>
      <c r="BA41" s="442"/>
      <c r="BB41" s="443"/>
      <c r="BC41" s="218" t="s">
        <v>259</v>
      </c>
      <c r="BD41" s="338">
        <f ca="1">BD42-BD40</f>
        <v>1974.0792410714282</v>
      </c>
      <c r="BE41" s="61">
        <f ca="1">BE42-BE40</f>
        <v>92.030229714612759</v>
      </c>
      <c r="BF41" s="331">
        <f ca="1">BF42-BF40</f>
        <v>3.9481584821428566</v>
      </c>
    </row>
    <row r="42" spans="2:58" ht="17.25" customHeight="1" thickBot="1">
      <c r="B42" s="444"/>
      <c r="C42" s="445"/>
      <c r="D42" s="445"/>
      <c r="E42" s="445"/>
      <c r="F42" s="446"/>
      <c r="G42" s="334" t="s">
        <v>231</v>
      </c>
      <c r="H42" s="339">
        <f ca="1">B61*C5</f>
        <v>2145.0334821428569</v>
      </c>
      <c r="I42" s="342">
        <v>100</v>
      </c>
      <c r="J42" s="335">
        <f ca="1">B61</f>
        <v>4.2900669642857139</v>
      </c>
      <c r="N42" s="444"/>
      <c r="O42" s="445"/>
      <c r="P42" s="445"/>
      <c r="Q42" s="445"/>
      <c r="R42" s="446"/>
      <c r="S42" s="334" t="s">
        <v>231</v>
      </c>
      <c r="T42" s="339">
        <f ca="1">N61*O5</f>
        <v>2145.0334821428569</v>
      </c>
      <c r="U42" s="342">
        <v>100</v>
      </c>
      <c r="V42" s="335">
        <f ca="1">N61</f>
        <v>4.2900669642857139</v>
      </c>
      <c r="Z42" s="444"/>
      <c r="AA42" s="445"/>
      <c r="AB42" s="445"/>
      <c r="AC42" s="445"/>
      <c r="AD42" s="446"/>
      <c r="AE42" s="334" t="s">
        <v>231</v>
      </c>
      <c r="AF42" s="339">
        <f ca="1">Z61*AA5</f>
        <v>2145.0334821428569</v>
      </c>
      <c r="AG42" s="342">
        <v>100</v>
      </c>
      <c r="AH42" s="335">
        <f ca="1">Z61</f>
        <v>4.2900669642857139</v>
      </c>
      <c r="AL42" s="444"/>
      <c r="AM42" s="445"/>
      <c r="AN42" s="445"/>
      <c r="AO42" s="445"/>
      <c r="AP42" s="446"/>
      <c r="AQ42" s="334" t="s">
        <v>231</v>
      </c>
      <c r="AR42" s="339">
        <f ca="1">AL61*AM5</f>
        <v>2145.0334821428569</v>
      </c>
      <c r="AS42" s="342">
        <v>100</v>
      </c>
      <c r="AT42" s="335">
        <f ca="1">AL61</f>
        <v>4.2900669642857139</v>
      </c>
      <c r="AX42" s="444"/>
      <c r="AY42" s="445"/>
      <c r="AZ42" s="445"/>
      <c r="BA42" s="445"/>
      <c r="BB42" s="446"/>
      <c r="BC42" s="334" t="s">
        <v>231</v>
      </c>
      <c r="BD42" s="339">
        <f ca="1">AX61*AY5</f>
        <v>2145.0334821428569</v>
      </c>
      <c r="BE42" s="342">
        <v>100</v>
      </c>
      <c r="BF42" s="335">
        <f ca="1">AX61</f>
        <v>4.2900669642857139</v>
      </c>
    </row>
    <row r="43" spans="2:58" ht="17.25" customHeight="1">
      <c r="G43" s="301"/>
      <c r="H43" s="302"/>
      <c r="I43" s="303"/>
      <c r="J43" s="302"/>
      <c r="S43" s="301"/>
      <c r="T43" s="302"/>
      <c r="U43" s="303"/>
      <c r="V43" s="302"/>
      <c r="AE43" s="301"/>
      <c r="AF43" s="302"/>
      <c r="AG43" s="303"/>
      <c r="AH43" s="302"/>
      <c r="AQ43" s="301"/>
      <c r="AR43" s="302"/>
      <c r="AS43" s="303"/>
      <c r="AT43" s="302"/>
      <c r="BC43" s="301"/>
      <c r="BD43" s="302"/>
      <c r="BE43" s="303"/>
      <c r="BF43" s="302"/>
    </row>
    <row r="44" spans="2:58" ht="17.25" customHeight="1">
      <c r="G44" s="301"/>
      <c r="H44" s="302"/>
      <c r="I44" s="303"/>
      <c r="J44" s="302"/>
      <c r="S44" s="301"/>
      <c r="T44" s="302"/>
      <c r="U44" s="303"/>
      <c r="V44" s="302"/>
      <c r="AE44" s="301"/>
      <c r="AF44" s="302"/>
      <c r="AG44" s="303"/>
      <c r="AH44" s="302"/>
      <c r="AQ44" s="301"/>
      <c r="AR44" s="302"/>
      <c r="AS44" s="303"/>
      <c r="AT44" s="302"/>
      <c r="BC44" s="301"/>
      <c r="BD44" s="302"/>
      <c r="BE44" s="303"/>
      <c r="BF44" s="302"/>
    </row>
    <row r="45" spans="2:58" ht="17.25" customHeight="1">
      <c r="G45" s="301"/>
      <c r="H45" s="302"/>
      <c r="I45" s="303"/>
      <c r="J45" s="302"/>
      <c r="S45" s="301"/>
      <c r="T45" s="302"/>
      <c r="U45" s="303"/>
      <c r="V45" s="302"/>
      <c r="AE45" s="301"/>
      <c r="AF45" s="302"/>
      <c r="AG45" s="303"/>
      <c r="AH45" s="302"/>
      <c r="AQ45" s="301"/>
      <c r="AR45" s="302"/>
      <c r="AS45" s="303"/>
      <c r="AT45" s="302"/>
      <c r="BC45" s="301"/>
      <c r="BD45" s="302"/>
      <c r="BE45" s="303"/>
      <c r="BF45" s="302"/>
    </row>
    <row r="46" spans="2:58" ht="17.25" customHeight="1">
      <c r="G46" s="301"/>
      <c r="H46" s="302"/>
      <c r="I46" s="303"/>
      <c r="J46" s="302"/>
      <c r="S46" s="301"/>
      <c r="T46" s="302"/>
      <c r="U46" s="303"/>
      <c r="V46" s="302"/>
      <c r="AE46" s="301"/>
      <c r="AF46" s="302"/>
      <c r="AG46" s="303"/>
      <c r="AH46" s="302"/>
      <c r="AQ46" s="301"/>
      <c r="AR46" s="302"/>
      <c r="AS46" s="303"/>
      <c r="AT46" s="302"/>
      <c r="BC46" s="301"/>
      <c r="BD46" s="302"/>
      <c r="BE46" s="303"/>
      <c r="BF46" s="302"/>
    </row>
    <row r="47" spans="2:58" ht="17.25" customHeight="1">
      <c r="G47" s="301"/>
      <c r="H47" s="302"/>
      <c r="I47" s="303"/>
      <c r="J47" s="302"/>
      <c r="S47" s="301"/>
      <c r="T47" s="302"/>
      <c r="U47" s="303"/>
      <c r="V47" s="302"/>
      <c r="AE47" s="301"/>
      <c r="AF47" s="302"/>
      <c r="AG47" s="303"/>
      <c r="AH47" s="302"/>
      <c r="AQ47" s="301"/>
      <c r="AR47" s="302"/>
      <c r="AS47" s="303"/>
      <c r="AT47" s="302"/>
      <c r="BC47" s="301"/>
      <c r="BD47" s="302"/>
      <c r="BE47" s="303"/>
      <c r="BF47" s="302"/>
    </row>
    <row r="48" spans="2:58" ht="17.25" customHeight="1">
      <c r="G48" s="301"/>
      <c r="H48" s="302"/>
      <c r="I48" s="303"/>
      <c r="J48" s="302"/>
      <c r="S48" s="301"/>
      <c r="T48" s="302"/>
      <c r="U48" s="303"/>
      <c r="V48" s="302"/>
      <c r="AE48" s="301"/>
      <c r="AF48" s="302"/>
      <c r="AG48" s="303"/>
      <c r="AH48" s="302"/>
      <c r="AQ48" s="301"/>
      <c r="AR48" s="302"/>
      <c r="AS48" s="303"/>
      <c r="AT48" s="302"/>
      <c r="BC48" s="301"/>
      <c r="BD48" s="302"/>
      <c r="BE48" s="303"/>
      <c r="BF48" s="302"/>
    </row>
    <row r="49" spans="2:58" ht="17.25" customHeight="1">
      <c r="G49" s="301"/>
      <c r="H49" s="302"/>
      <c r="I49" s="303"/>
      <c r="J49" s="302"/>
      <c r="S49" s="301"/>
      <c r="T49" s="302"/>
      <c r="U49" s="303"/>
      <c r="V49" s="302"/>
      <c r="AE49" s="301"/>
      <c r="AF49" s="302"/>
      <c r="AG49" s="303"/>
      <c r="AH49" s="302"/>
      <c r="AQ49" s="301"/>
      <c r="AR49" s="302"/>
      <c r="AS49" s="303"/>
      <c r="AT49" s="302"/>
      <c r="BC49" s="301"/>
      <c r="BD49" s="302"/>
      <c r="BE49" s="303"/>
      <c r="BF49" s="302"/>
    </row>
    <row r="50" spans="2:58" ht="17.25" customHeight="1">
      <c r="G50" s="301"/>
      <c r="H50" s="302"/>
      <c r="I50" s="303"/>
      <c r="J50" s="302"/>
      <c r="S50" s="301"/>
      <c r="T50" s="302"/>
      <c r="U50" s="303"/>
      <c r="V50" s="302"/>
      <c r="AE50" s="301"/>
      <c r="AF50" s="302"/>
      <c r="AG50" s="303"/>
      <c r="AH50" s="302"/>
      <c r="AQ50" s="301"/>
      <c r="AR50" s="302"/>
      <c r="AS50" s="303"/>
      <c r="AT50" s="302"/>
      <c r="BC50" s="301"/>
      <c r="BD50" s="302"/>
      <c r="BE50" s="303"/>
      <c r="BF50" s="302"/>
    </row>
    <row r="51" spans="2:58" ht="17.25" customHeight="1">
      <c r="G51" s="301"/>
      <c r="H51" s="302"/>
      <c r="I51" s="303"/>
      <c r="J51" s="302"/>
      <c r="S51" s="301"/>
      <c r="T51" s="302"/>
      <c r="U51" s="303"/>
      <c r="V51" s="302"/>
      <c r="AE51" s="301"/>
      <c r="AF51" s="302"/>
      <c r="AG51" s="303"/>
      <c r="AH51" s="302"/>
      <c r="AQ51" s="301"/>
      <c r="AR51" s="302"/>
      <c r="AS51" s="303"/>
      <c r="AT51" s="302"/>
      <c r="BC51" s="301"/>
      <c r="BD51" s="302"/>
      <c r="BE51" s="303"/>
      <c r="BF51" s="302"/>
    </row>
    <row r="52" spans="2:58" ht="17.25" customHeight="1">
      <c r="G52" s="301"/>
      <c r="H52" s="302"/>
      <c r="I52" s="303"/>
      <c r="J52" s="302"/>
      <c r="S52" s="301"/>
      <c r="T52" s="302"/>
      <c r="U52" s="303"/>
      <c r="V52" s="302"/>
      <c r="AE52" s="301"/>
      <c r="AF52" s="302"/>
      <c r="AG52" s="303"/>
      <c r="AH52" s="302"/>
      <c r="AQ52" s="301"/>
      <c r="AR52" s="302"/>
      <c r="AS52" s="303"/>
      <c r="AT52" s="302"/>
      <c r="BC52" s="301"/>
      <c r="BD52" s="302"/>
      <c r="BE52" s="303"/>
      <c r="BF52" s="302"/>
    </row>
    <row r="53" spans="2:58" ht="17.25" customHeight="1">
      <c r="G53" s="301"/>
      <c r="H53" s="302"/>
      <c r="I53" s="303"/>
      <c r="J53" s="302"/>
      <c r="S53" s="301"/>
      <c r="T53" s="302"/>
      <c r="U53" s="303"/>
      <c r="V53" s="302"/>
      <c r="AE53" s="301"/>
      <c r="AF53" s="302"/>
      <c r="AG53" s="303"/>
      <c r="AH53" s="302"/>
      <c r="AQ53" s="301"/>
      <c r="AR53" s="302"/>
      <c r="AS53" s="303"/>
      <c r="AT53" s="302"/>
      <c r="BC53" s="301"/>
      <c r="BD53" s="302"/>
      <c r="BE53" s="303"/>
      <c r="BF53" s="302"/>
    </row>
    <row r="54" spans="2:58" ht="17.25" customHeight="1">
      <c r="G54" s="301"/>
      <c r="H54" s="302"/>
      <c r="I54" s="303"/>
      <c r="J54" s="302"/>
      <c r="S54" s="301"/>
      <c r="T54" s="302"/>
      <c r="U54" s="303"/>
      <c r="V54" s="302"/>
      <c r="AE54" s="301"/>
      <c r="AF54" s="302"/>
      <c r="AG54" s="303"/>
      <c r="AH54" s="302"/>
      <c r="AQ54" s="301"/>
      <c r="AR54" s="302"/>
      <c r="AS54" s="303"/>
      <c r="AT54" s="302"/>
      <c r="BC54" s="301"/>
      <c r="BD54" s="302"/>
      <c r="BE54" s="303"/>
      <c r="BF54" s="302"/>
    </row>
    <row r="55" spans="2:58" ht="17.25" customHeight="1">
      <c r="G55" s="301"/>
      <c r="H55" s="302"/>
      <c r="I55" s="303"/>
      <c r="J55" s="302"/>
      <c r="S55" s="301"/>
      <c r="T55" s="302"/>
      <c r="U55" s="303"/>
      <c r="V55" s="302"/>
      <c r="AE55" s="301"/>
      <c r="AF55" s="302"/>
      <c r="AG55" s="303"/>
      <c r="AH55" s="302"/>
      <c r="AQ55" s="301"/>
      <c r="AR55" s="302"/>
      <c r="AS55" s="303"/>
      <c r="AT55" s="302"/>
      <c r="BC55" s="301"/>
      <c r="BD55" s="302"/>
      <c r="BE55" s="303"/>
      <c r="BF55" s="302"/>
    </row>
    <row r="56" spans="2:58" ht="17.25" customHeight="1">
      <c r="G56" s="301"/>
      <c r="H56" s="302"/>
      <c r="I56" s="303"/>
      <c r="J56" s="302"/>
      <c r="S56" s="301"/>
      <c r="T56" s="302"/>
      <c r="U56" s="303"/>
      <c r="V56" s="302"/>
      <c r="AE56" s="301"/>
      <c r="AF56" s="302"/>
      <c r="AG56" s="303"/>
      <c r="AH56" s="302"/>
      <c r="AQ56" s="301"/>
      <c r="AR56" s="302"/>
      <c r="AS56" s="303"/>
      <c r="AT56" s="302"/>
      <c r="BC56" s="301"/>
      <c r="BD56" s="302"/>
      <c r="BE56" s="303"/>
      <c r="BF56" s="302"/>
    </row>
    <row r="57" spans="2:58" ht="17.25" customHeight="1">
      <c r="G57" s="301"/>
      <c r="H57" s="302"/>
      <c r="I57" s="303"/>
      <c r="J57" s="302"/>
      <c r="S57" s="301"/>
      <c r="T57" s="302"/>
      <c r="U57" s="303"/>
      <c r="V57" s="302"/>
      <c r="AE57" s="301"/>
      <c r="AF57" s="302"/>
      <c r="AG57" s="303"/>
      <c r="AH57" s="302"/>
      <c r="AQ57" s="301"/>
      <c r="AR57" s="302"/>
      <c r="AS57" s="303"/>
      <c r="AT57" s="302"/>
      <c r="BC57" s="301"/>
      <c r="BD57" s="302"/>
      <c r="BE57" s="303"/>
      <c r="BF57" s="302"/>
    </row>
    <row r="58" spans="2:58" ht="17.25" customHeight="1">
      <c r="G58" s="301"/>
      <c r="H58" s="302"/>
      <c r="I58" s="303"/>
      <c r="J58" s="302"/>
      <c r="S58" s="301"/>
      <c r="T58" s="302"/>
      <c r="U58" s="303"/>
      <c r="V58" s="302"/>
      <c r="AE58" s="301"/>
      <c r="AF58" s="302"/>
      <c r="AG58" s="303"/>
      <c r="AH58" s="302"/>
      <c r="AQ58" s="301"/>
      <c r="AR58" s="302"/>
      <c r="AS58" s="303"/>
      <c r="AT58" s="302"/>
      <c r="BC58" s="301"/>
      <c r="BD58" s="302"/>
      <c r="BE58" s="303"/>
      <c r="BF58" s="302"/>
    </row>
    <row r="59" spans="2:58" ht="17.25" customHeight="1">
      <c r="G59" s="301"/>
      <c r="H59" s="302"/>
      <c r="I59" s="303"/>
      <c r="J59" s="302"/>
      <c r="S59" s="301"/>
      <c r="T59" s="302"/>
      <c r="U59" s="303"/>
      <c r="V59" s="302"/>
      <c r="AE59" s="301"/>
      <c r="AF59" s="302"/>
      <c r="AG59" s="303"/>
      <c r="AH59" s="302"/>
      <c r="AQ59" s="301"/>
      <c r="AR59" s="302"/>
      <c r="AS59" s="303"/>
      <c r="AT59" s="302"/>
      <c r="BC59" s="301"/>
      <c r="BD59" s="302"/>
      <c r="BE59" s="303"/>
      <c r="BF59" s="302"/>
    </row>
    <row r="60" spans="2:58" s="185" customFormat="1" ht="17.25" customHeight="1"/>
    <row r="61" spans="2:58" s="9" customFormat="1" ht="17.25" customHeight="1">
      <c r="B61" s="291">
        <f ca="1">SUM(C61:E61)</f>
        <v>4.2900669642857139</v>
      </c>
      <c r="C61" s="292">
        <f>IF(C9=C63,C62,0)</f>
        <v>0</v>
      </c>
      <c r="D61" s="292">
        <f ca="1">IF(C9=D63,D62,0)</f>
        <v>4.2900669642857139</v>
      </c>
      <c r="E61" s="292">
        <f>IF(C9=E63,E62,0)</f>
        <v>0</v>
      </c>
      <c r="F61" s="293"/>
      <c r="G61" s="294" t="s">
        <v>231</v>
      </c>
      <c r="N61" s="291">
        <f ca="1">SUM(O61:Q61)</f>
        <v>4.2900669642857139</v>
      </c>
      <c r="O61" s="292">
        <f>IF(O9=O63,O62,0)</f>
        <v>0</v>
      </c>
      <c r="P61" s="292">
        <f ca="1">IF(O9=P63,P62,0)</f>
        <v>4.2900669642857139</v>
      </c>
      <c r="Q61" s="292">
        <f>IF(O9=Q63,Q62,0)</f>
        <v>0</v>
      </c>
      <c r="R61" s="293"/>
      <c r="S61" s="294" t="s">
        <v>231</v>
      </c>
      <c r="Z61" s="291">
        <f ca="1">SUM(AA61:AC61)</f>
        <v>4.2900669642857139</v>
      </c>
      <c r="AA61" s="292">
        <f>IF(AA9=AA63,AA62,0)</f>
        <v>0</v>
      </c>
      <c r="AB61" s="292">
        <f ca="1">IF(AA9=AB63,AB62,0)</f>
        <v>4.2900669642857139</v>
      </c>
      <c r="AC61" s="292">
        <f>IF(AA9=AC63,AC62,0)</f>
        <v>0</v>
      </c>
      <c r="AD61" s="293"/>
      <c r="AE61" s="294" t="s">
        <v>231</v>
      </c>
      <c r="AL61" s="291">
        <f ca="1">SUM(AM61:AO61)</f>
        <v>4.2900669642857139</v>
      </c>
      <c r="AM61" s="292">
        <f>IF(AM9=AM63,AM62,0)</f>
        <v>0</v>
      </c>
      <c r="AN61" s="292">
        <f ca="1">IF(AM9=AN63,AN62,0)</f>
        <v>4.2900669642857139</v>
      </c>
      <c r="AO61" s="292">
        <f>IF(AM9=AO63,AO62,0)</f>
        <v>0</v>
      </c>
      <c r="AP61" s="293"/>
      <c r="AQ61" s="294" t="s">
        <v>231</v>
      </c>
      <c r="AX61" s="291">
        <f ca="1">SUM(AY61:BA61)</f>
        <v>4.2900669642857139</v>
      </c>
      <c r="AY61" s="292">
        <f>IF(AY9=AY63,AY62,0)</f>
        <v>0</v>
      </c>
      <c r="AZ61" s="292">
        <f ca="1">IF(AY9=AZ63,AZ62,0)</f>
        <v>4.2900669642857139</v>
      </c>
      <c r="BA61" s="292">
        <f>IF(AY9=BA63,BA62,0)</f>
        <v>0</v>
      </c>
      <c r="BB61" s="293"/>
      <c r="BC61" s="294" t="s">
        <v>231</v>
      </c>
    </row>
    <row r="62" spans="2:58" ht="17.25" customHeight="1">
      <c r="B62" s="243"/>
      <c r="C62" s="286">
        <f ca="1">C23</f>
        <v>3.4213169642857144</v>
      </c>
      <c r="D62" s="286">
        <f t="shared" ref="D62:E62" ca="1" si="28">D23</f>
        <v>4.2900669642857139</v>
      </c>
      <c r="E62" s="286">
        <f t="shared" ca="1" si="28"/>
        <v>5.1588169642857142</v>
      </c>
      <c r="F62" s="185"/>
      <c r="G62" s="186" t="s">
        <v>231</v>
      </c>
      <c r="N62" s="243"/>
      <c r="O62" s="286">
        <f ca="1">O23</f>
        <v>3.4213169642857144</v>
      </c>
      <c r="P62" s="286">
        <f t="shared" ref="P62:Q62" ca="1" si="29">P23</f>
        <v>4.2900669642857139</v>
      </c>
      <c r="Q62" s="286">
        <f t="shared" ca="1" si="29"/>
        <v>5.1588169642857142</v>
      </c>
      <c r="R62" s="185"/>
      <c r="S62" s="186" t="s">
        <v>231</v>
      </c>
      <c r="Z62" s="243"/>
      <c r="AA62" s="286">
        <f ca="1">AA23</f>
        <v>3.4213169642857144</v>
      </c>
      <c r="AB62" s="286">
        <f t="shared" ref="AB62:AC62" ca="1" si="30">AB23</f>
        <v>4.2900669642857139</v>
      </c>
      <c r="AC62" s="286">
        <f t="shared" ca="1" si="30"/>
        <v>5.1588169642857142</v>
      </c>
      <c r="AD62" s="185"/>
      <c r="AE62" s="186" t="s">
        <v>231</v>
      </c>
      <c r="AL62" s="243"/>
      <c r="AM62" s="286">
        <f ca="1">AM23</f>
        <v>3.4213169642857144</v>
      </c>
      <c r="AN62" s="286">
        <f t="shared" ref="AN62:AO62" ca="1" si="31">AN23</f>
        <v>4.2900669642857139</v>
      </c>
      <c r="AO62" s="286">
        <f t="shared" ca="1" si="31"/>
        <v>5.1588169642857142</v>
      </c>
      <c r="AP62" s="185"/>
      <c r="AQ62" s="186" t="s">
        <v>231</v>
      </c>
      <c r="AX62" s="243"/>
      <c r="AY62" s="286">
        <f ca="1">AY23</f>
        <v>3.4213169642857144</v>
      </c>
      <c r="AZ62" s="286">
        <f t="shared" ref="AZ62:BA62" ca="1" si="32">AZ23</f>
        <v>4.2900669642857139</v>
      </c>
      <c r="BA62" s="286">
        <f t="shared" ca="1" si="32"/>
        <v>5.1588169642857142</v>
      </c>
      <c r="BB62" s="185"/>
      <c r="BC62" s="186" t="s">
        <v>231</v>
      </c>
    </row>
    <row r="63" spans="2:58" ht="17.25" customHeight="1">
      <c r="C63" s="1" t="s">
        <v>142</v>
      </c>
      <c r="D63" s="1" t="s">
        <v>143</v>
      </c>
      <c r="E63" s="1" t="s">
        <v>144</v>
      </c>
      <c r="O63" s="1" t="s">
        <v>142</v>
      </c>
      <c r="P63" s="1" t="s">
        <v>143</v>
      </c>
      <c r="Q63" s="1" t="s">
        <v>144</v>
      </c>
      <c r="AA63" s="1" t="s">
        <v>142</v>
      </c>
      <c r="AB63" s="1" t="s">
        <v>143</v>
      </c>
      <c r="AC63" s="1" t="s">
        <v>144</v>
      </c>
      <c r="AM63" s="1" t="s">
        <v>142</v>
      </c>
      <c r="AN63" s="1" t="s">
        <v>143</v>
      </c>
      <c r="AO63" s="1" t="s">
        <v>144</v>
      </c>
      <c r="AY63" s="1" t="s">
        <v>142</v>
      </c>
      <c r="AZ63" s="1" t="s">
        <v>143</v>
      </c>
      <c r="BA63" s="1" t="s">
        <v>144</v>
      </c>
    </row>
    <row r="64" spans="2:58" ht="17.25" customHeight="1">
      <c r="B64" s="131"/>
      <c r="C64" s="295">
        <f ca="1">C17</f>
        <v>1.2106584821428572</v>
      </c>
      <c r="D64" s="295">
        <f ca="1">D17</f>
        <v>1.6450334821428572</v>
      </c>
      <c r="E64" s="295">
        <f ca="1">E17</f>
        <v>2.0794084821428571</v>
      </c>
      <c r="F64" s="217"/>
      <c r="G64" s="219" t="s">
        <v>258</v>
      </c>
      <c r="N64" s="131"/>
      <c r="O64" s="295">
        <f ca="1">O17</f>
        <v>1.2106584821428572</v>
      </c>
      <c r="P64" s="295">
        <f ca="1">P17</f>
        <v>1.6450334821428572</v>
      </c>
      <c r="Q64" s="295">
        <f ca="1">Q17</f>
        <v>2.0794084821428571</v>
      </c>
      <c r="R64" s="217"/>
      <c r="S64" s="219" t="s">
        <v>258</v>
      </c>
      <c r="Z64" s="131"/>
      <c r="AA64" s="295">
        <f ca="1">AA17</f>
        <v>1.2106584821428572</v>
      </c>
      <c r="AB64" s="295">
        <f ca="1">AB17</f>
        <v>1.6450334821428572</v>
      </c>
      <c r="AC64" s="295">
        <f ca="1">AC17</f>
        <v>2.0794084821428571</v>
      </c>
      <c r="AD64" s="217"/>
      <c r="AE64" s="219" t="s">
        <v>258</v>
      </c>
      <c r="AL64" s="131"/>
      <c r="AM64" s="295">
        <f ca="1">AM17</f>
        <v>1.2106584821428572</v>
      </c>
      <c r="AN64" s="295">
        <f ca="1">AN17</f>
        <v>1.6450334821428572</v>
      </c>
      <c r="AO64" s="295">
        <f ca="1">AO17</f>
        <v>2.0794084821428571</v>
      </c>
      <c r="AP64" s="217"/>
      <c r="AQ64" s="219" t="s">
        <v>258</v>
      </c>
      <c r="AX64" s="131"/>
      <c r="AY64" s="295">
        <f ca="1">AY17</f>
        <v>1.2106584821428572</v>
      </c>
      <c r="AZ64" s="295">
        <f ca="1">AZ17</f>
        <v>1.6450334821428572</v>
      </c>
      <c r="BA64" s="295">
        <f ca="1">BA17</f>
        <v>2.0794084821428571</v>
      </c>
      <c r="BB64" s="217"/>
      <c r="BC64" s="219" t="s">
        <v>258</v>
      </c>
    </row>
    <row r="65" spans="2:55" s="9" customFormat="1" ht="17.25" customHeight="1">
      <c r="B65" s="296">
        <f ca="1">SUM(C65:E65)</f>
        <v>1.6450334821428572</v>
      </c>
      <c r="C65" s="297">
        <f>IF(C9=C63,C64,0)</f>
        <v>0</v>
      </c>
      <c r="D65" s="297">
        <f ca="1">IF(C9=D63,D64,0)</f>
        <v>1.6450334821428572</v>
      </c>
      <c r="E65" s="297">
        <f>IF(C9=E63,E64,0)</f>
        <v>0</v>
      </c>
      <c r="F65" s="298"/>
      <c r="G65" s="299" t="s">
        <v>247</v>
      </c>
      <c r="N65" s="296">
        <f ca="1">SUM(O65:Q65)</f>
        <v>1.6450334821428572</v>
      </c>
      <c r="O65" s="297">
        <f>IF(O9=O63,O64,0)</f>
        <v>0</v>
      </c>
      <c r="P65" s="297">
        <f ca="1">IF(O9=P63,P64,0)</f>
        <v>1.6450334821428572</v>
      </c>
      <c r="Q65" s="297">
        <f>IF(O9=Q63,Q64,0)</f>
        <v>0</v>
      </c>
      <c r="R65" s="298"/>
      <c r="S65" s="299" t="s">
        <v>247</v>
      </c>
      <c r="Z65" s="296">
        <f ca="1">SUM(AA65:AC65)</f>
        <v>1.6450334821428572</v>
      </c>
      <c r="AA65" s="297">
        <f>IF(AA9=AA63,AA64,0)</f>
        <v>0</v>
      </c>
      <c r="AB65" s="297">
        <f ca="1">IF(AA9=AB63,AB64,0)</f>
        <v>1.6450334821428572</v>
      </c>
      <c r="AC65" s="297">
        <f>IF(AA9=AC63,AC64,0)</f>
        <v>0</v>
      </c>
      <c r="AD65" s="298"/>
      <c r="AE65" s="299" t="s">
        <v>247</v>
      </c>
      <c r="AL65" s="296">
        <f ca="1">SUM(AM65:AO65)</f>
        <v>1.6450334821428572</v>
      </c>
      <c r="AM65" s="297">
        <f>IF(AM9=AM63,AM64,0)</f>
        <v>0</v>
      </c>
      <c r="AN65" s="297">
        <f ca="1">IF(AM9=AN63,AN64,0)</f>
        <v>1.6450334821428572</v>
      </c>
      <c r="AO65" s="297">
        <f>IF(AM9=AO63,AO64,0)</f>
        <v>0</v>
      </c>
      <c r="AP65" s="298"/>
      <c r="AQ65" s="299" t="s">
        <v>247</v>
      </c>
      <c r="AX65" s="296">
        <f ca="1">SUM(AY65:BA65)</f>
        <v>1.6450334821428572</v>
      </c>
      <c r="AY65" s="297">
        <f>IF(AY9=AY63,AY64,0)</f>
        <v>0</v>
      </c>
      <c r="AZ65" s="297">
        <f ca="1">IF(AY9=AZ63,AZ64,0)</f>
        <v>1.6450334821428572</v>
      </c>
      <c r="BA65" s="297">
        <f>IF(AY9=BA63,BA64,0)</f>
        <v>0</v>
      </c>
      <c r="BB65" s="298"/>
      <c r="BC65" s="299" t="s">
        <v>247</v>
      </c>
    </row>
    <row r="66" spans="2:55" ht="17.25" customHeight="1">
      <c r="B66" s="300"/>
      <c r="C66" s="295">
        <f ca="1">C18</f>
        <v>0.34190848214285718</v>
      </c>
      <c r="D66" s="295">
        <f ca="1">D18</f>
        <v>0.34190848214285718</v>
      </c>
      <c r="E66" s="295">
        <f ca="1">E18</f>
        <v>0.34190848214285718</v>
      </c>
      <c r="F66" s="217"/>
      <c r="G66" s="219" t="s">
        <v>257</v>
      </c>
      <c r="N66" s="300"/>
      <c r="O66" s="295">
        <f ca="1">O18</f>
        <v>0.34190848214285718</v>
      </c>
      <c r="P66" s="295">
        <f ca="1">P18</f>
        <v>0.34190848214285718</v>
      </c>
      <c r="Q66" s="295">
        <f ca="1">Q18</f>
        <v>0.34190848214285718</v>
      </c>
      <c r="R66" s="217"/>
      <c r="S66" s="219" t="s">
        <v>257</v>
      </c>
      <c r="Z66" s="300"/>
      <c r="AA66" s="295">
        <f ca="1">AA18</f>
        <v>0.34190848214285718</v>
      </c>
      <c r="AB66" s="295">
        <f ca="1">AB18</f>
        <v>0.34190848214285718</v>
      </c>
      <c r="AC66" s="295">
        <f ca="1">AC18</f>
        <v>0.34190848214285718</v>
      </c>
      <c r="AD66" s="217"/>
      <c r="AE66" s="219" t="s">
        <v>257</v>
      </c>
      <c r="AL66" s="300"/>
      <c r="AM66" s="295">
        <f ca="1">AM18</f>
        <v>0.34190848214285718</v>
      </c>
      <c r="AN66" s="295">
        <f ca="1">AN18</f>
        <v>0.34190848214285718</v>
      </c>
      <c r="AO66" s="295">
        <f ca="1">AO18</f>
        <v>0.34190848214285718</v>
      </c>
      <c r="AP66" s="217"/>
      <c r="AQ66" s="219" t="s">
        <v>257</v>
      </c>
      <c r="AX66" s="300"/>
      <c r="AY66" s="295">
        <f ca="1">AY18</f>
        <v>0.34190848214285718</v>
      </c>
      <c r="AZ66" s="295">
        <f ca="1">AZ18</f>
        <v>0.34190848214285718</v>
      </c>
      <c r="BA66" s="295">
        <f ca="1">BA18</f>
        <v>0.34190848214285718</v>
      </c>
      <c r="BB66" s="217"/>
      <c r="BC66" s="219" t="s">
        <v>257</v>
      </c>
    </row>
    <row r="67" spans="2:55" ht="17.25" customHeight="1">
      <c r="B67" s="296">
        <f ca="1">SUM(C67:E67)</f>
        <v>0.34190848214285718</v>
      </c>
      <c r="C67" s="297">
        <f>IF(C9=C63,C66,0)</f>
        <v>0</v>
      </c>
      <c r="D67" s="297">
        <f ca="1">IF(C9=D63,D66,0)</f>
        <v>0.34190848214285718</v>
      </c>
      <c r="E67" s="297">
        <f>IF(C9=E63,E66,0)</f>
        <v>0</v>
      </c>
      <c r="F67" s="185"/>
      <c r="G67" s="299" t="s">
        <v>257</v>
      </c>
      <c r="N67" s="296">
        <f ca="1">SUM(O67:Q67)</f>
        <v>0.34190848214285718</v>
      </c>
      <c r="O67" s="297">
        <f>IF(O9=O63,O66,0)</f>
        <v>0</v>
      </c>
      <c r="P67" s="297">
        <f ca="1">IF(O9=P63,P66,0)</f>
        <v>0.34190848214285718</v>
      </c>
      <c r="Q67" s="297">
        <f>IF(O9=Q63,Q66,0)</f>
        <v>0</v>
      </c>
      <c r="R67" s="185"/>
      <c r="S67" s="299" t="s">
        <v>257</v>
      </c>
      <c r="Z67" s="296">
        <f ca="1">SUM(AA67:AC67)</f>
        <v>0.34190848214285718</v>
      </c>
      <c r="AA67" s="297">
        <f>IF(AA9=AA63,AA66,0)</f>
        <v>0</v>
      </c>
      <c r="AB67" s="297">
        <f ca="1">IF(AA9=AB63,AB66,0)</f>
        <v>0.34190848214285718</v>
      </c>
      <c r="AC67" s="297">
        <f>IF(AA9=AC63,AC66,0)</f>
        <v>0</v>
      </c>
      <c r="AD67" s="185"/>
      <c r="AE67" s="299" t="s">
        <v>257</v>
      </c>
      <c r="AL67" s="296">
        <f ca="1">SUM(AM67:AO67)</f>
        <v>0.34190848214285718</v>
      </c>
      <c r="AM67" s="297">
        <f>IF(AM9=AM63,AM66,0)</f>
        <v>0</v>
      </c>
      <c r="AN67" s="297">
        <f ca="1">IF(AM9=AN63,AN66,0)</f>
        <v>0.34190848214285718</v>
      </c>
      <c r="AO67" s="297">
        <f>IF(AM9=AO63,AO66,0)</f>
        <v>0</v>
      </c>
      <c r="AP67" s="185"/>
      <c r="AQ67" s="299" t="s">
        <v>257</v>
      </c>
      <c r="AX67" s="296">
        <f ca="1">SUM(AY67:BA67)</f>
        <v>0.34190848214285718</v>
      </c>
      <c r="AY67" s="297">
        <f>IF(AY9=AY63,AY66,0)</f>
        <v>0</v>
      </c>
      <c r="AZ67" s="297">
        <f ca="1">IF(AY9=AZ63,AZ66,0)</f>
        <v>0.34190848214285718</v>
      </c>
      <c r="BA67" s="297">
        <f>IF(AY9=BA63,BA66,0)</f>
        <v>0</v>
      </c>
      <c r="BB67" s="185"/>
      <c r="BC67" s="299" t="s">
        <v>257</v>
      </c>
    </row>
    <row r="68" spans="2:55" ht="17.25" customHeight="1">
      <c r="C68" s="1"/>
      <c r="D68" s="1"/>
      <c r="E68" s="1"/>
      <c r="O68" s="1"/>
      <c r="P68" s="1"/>
      <c r="Q68" s="1"/>
      <c r="AA68" s="1"/>
      <c r="AB68" s="1"/>
      <c r="AC68" s="1"/>
      <c r="AM68" s="1"/>
      <c r="AN68" s="1"/>
      <c r="AO68" s="1"/>
      <c r="AY68" s="1"/>
      <c r="AZ68" s="1"/>
      <c r="BA68" s="1"/>
    </row>
    <row r="69" spans="2:55" ht="17.25" customHeight="1">
      <c r="B69" s="2" t="s">
        <v>142</v>
      </c>
      <c r="N69" s="2" t="s">
        <v>142</v>
      </c>
      <c r="Z69" s="2" t="s">
        <v>142</v>
      </c>
      <c r="AL69" s="2" t="s">
        <v>142</v>
      </c>
      <c r="AX69" s="2" t="s">
        <v>142</v>
      </c>
    </row>
    <row r="70" spans="2:55" ht="17.25" customHeight="1">
      <c r="B70" s="2" t="s">
        <v>143</v>
      </c>
      <c r="N70" s="2" t="s">
        <v>143</v>
      </c>
      <c r="Z70" s="2" t="s">
        <v>143</v>
      </c>
      <c r="AL70" s="2" t="s">
        <v>143</v>
      </c>
      <c r="AX70" s="2" t="s">
        <v>143</v>
      </c>
    </row>
    <row r="71" spans="2:55" ht="17.25" customHeight="1">
      <c r="B71" s="2" t="s">
        <v>144</v>
      </c>
      <c r="N71" s="2" t="s">
        <v>144</v>
      </c>
      <c r="Z71" s="2" t="s">
        <v>144</v>
      </c>
      <c r="AL71" s="2" t="s">
        <v>144</v>
      </c>
      <c r="AX71" s="2" t="s">
        <v>144</v>
      </c>
    </row>
  </sheetData>
  <sheetProtection selectLockedCells="1"/>
  <mergeCells count="49">
    <mergeCell ref="AX32:BB34"/>
    <mergeCell ref="AX36:BB38"/>
    <mergeCell ref="AX40:BB42"/>
    <mergeCell ref="AR4:AS4"/>
    <mergeCell ref="B32:F34"/>
    <mergeCell ref="B36:F38"/>
    <mergeCell ref="B40:F42"/>
    <mergeCell ref="N32:R34"/>
    <mergeCell ref="N36:R38"/>
    <mergeCell ref="N40:R42"/>
    <mergeCell ref="Z32:AD34"/>
    <mergeCell ref="Z36:AD38"/>
    <mergeCell ref="Z40:AD42"/>
    <mergeCell ref="AL32:AP34"/>
    <mergeCell ref="AL36:AP38"/>
    <mergeCell ref="AL40:AP42"/>
    <mergeCell ref="H8:I8"/>
    <mergeCell ref="Z1:AH1"/>
    <mergeCell ref="T8:U8"/>
    <mergeCell ref="T5:U5"/>
    <mergeCell ref="T6:U6"/>
    <mergeCell ref="T7:U7"/>
    <mergeCell ref="T4:U4"/>
    <mergeCell ref="N1:V1"/>
    <mergeCell ref="H7:I7"/>
    <mergeCell ref="B1:J1"/>
    <mergeCell ref="H4:I4"/>
    <mergeCell ref="H5:I5"/>
    <mergeCell ref="H6:I6"/>
    <mergeCell ref="O7:Q7"/>
    <mergeCell ref="AA7:AC7"/>
    <mergeCell ref="AF4:AG4"/>
    <mergeCell ref="AF5:AG5"/>
    <mergeCell ref="AF6:AG6"/>
    <mergeCell ref="AF7:AG7"/>
    <mergeCell ref="AF8:AG8"/>
    <mergeCell ref="AM7:AO7"/>
    <mergeCell ref="AY7:BA7"/>
    <mergeCell ref="AX1:BF1"/>
    <mergeCell ref="BD7:BE7"/>
    <mergeCell ref="BD8:BE8"/>
    <mergeCell ref="BD4:BE4"/>
    <mergeCell ref="BD5:BE5"/>
    <mergeCell ref="BD6:BE6"/>
    <mergeCell ref="AR6:AS6"/>
    <mergeCell ref="AR7:AS7"/>
    <mergeCell ref="AR8:AS8"/>
    <mergeCell ref="AL1:AT1"/>
    <mergeCell ref="AR5:AS5"/>
  </mergeCells>
  <dataValidations count="1">
    <dataValidation type="list" allowBlank="1" showInputMessage="1" showErrorMessage="1" sqref="C9 O9 AA9 AM9 AY9" xr:uid="{00000000-0002-0000-0100-000000000000}">
      <formula1>$B$69:$B$71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100-000002000000}">
          <x14:formula1>
            <xm:f>'facts-alt'!$I$20:$I$22</xm:f>
          </x14:formula1>
          <xm:sqref>T3:U3 AF3:AG3 AR3:AS3 BD3:BE3</xm:sqref>
        </x14:dataValidation>
        <x14:dataValidation type="list" allowBlank="1" showInputMessage="1" showErrorMessage="1" xr:uid="{00000000-0002-0000-0100-000003000000}">
          <x14:formula1>
            <xm:f>'facts-alt'!$K$20:$K$22</xm:f>
          </x14:formula1>
          <xm:sqref>T4:U4 AF4:AG4 AR4:AS4 BD4:BE4 H4:I4</xm:sqref>
        </x14:dataValidation>
        <x14:dataValidation type="list" allowBlank="1" showInputMessage="1" showErrorMessage="1" xr:uid="{00000000-0002-0000-0100-000004000000}">
          <x14:formula1>
            <xm:f>'facts-alt'!$K$23:$K$24</xm:f>
          </x14:formula1>
          <xm:sqref>T5:U5 AF5:AG5 AR5:AS5 BD5:BE5 H5:I5</xm:sqref>
        </x14:dataValidation>
        <x14:dataValidation type="list" allowBlank="1" showInputMessage="1" showErrorMessage="1" xr:uid="{00000000-0002-0000-0100-000005000000}">
          <x14:formula1>
            <xm:f>'facts-alt'!$K$25:$K$27</xm:f>
          </x14:formula1>
          <xm:sqref>T6:U6 AF6:AG6 AR6:AS6 BD6:BE6 H6:I6</xm:sqref>
        </x14:dataValidation>
        <x14:dataValidation type="list" allowBlank="1" showInputMessage="1" showErrorMessage="1" xr:uid="{00000000-0002-0000-0100-000006000000}">
          <x14:formula1>
            <xm:f>'facts-alt'!$K$37:$K$86</xm:f>
          </x14:formula1>
          <xm:sqref>T7:U7 H7:I7 BD7:BE7 AR7:AS7 AF7:AG7</xm:sqref>
        </x14:dataValidation>
        <x14:dataValidation type="list" allowBlank="1" showInputMessage="1" showErrorMessage="1" xr:uid="{00000000-0002-0000-0100-000007000000}">
          <x14:formula1>
            <xm:f>'facts-alt'!$G$64:$G$65</xm:f>
          </x14:formula1>
          <xm:sqref>T8:U8 H8:I8 BD8:BE8 AR8:AS8 AF8:AG8</xm:sqref>
        </x14:dataValidation>
        <x14:dataValidation type="list" allowBlank="1" showInputMessage="1" showErrorMessage="1" xr:uid="{00000000-0002-0000-0100-000001000000}">
          <x14:formula1>
            <xm:f>'facts-alt'!$B$32:$B$35</xm:f>
          </x14:formula1>
          <xm:sqref>T2 BD2 AR2 AF2</xm:sqref>
        </x14:dataValidation>
        <x14:dataValidation type="list" allowBlank="1" showInputMessage="1" showErrorMessage="1" xr:uid="{6BBDFF1F-C6CE-4390-80BB-310E66303251}">
          <x14:formula1>
            <xm:f>verschluss!$A$10:$A$14</xm:f>
          </x14:formula1>
          <xm:sqref>O7 AA7 AM7 AY7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5:CG42"/>
  <sheetViews>
    <sheetView topLeftCell="A5" zoomScaleNormal="100" workbookViewId="0">
      <selection activeCell="B6" sqref="B6"/>
    </sheetView>
  </sheetViews>
  <sheetFormatPr baseColWidth="10" defaultRowHeight="18" customHeight="1"/>
  <cols>
    <col min="1" max="1" width="9.7109375" style="346" customWidth="1"/>
    <col min="2" max="2" width="15.7109375" style="346" customWidth="1"/>
    <col min="3" max="3" width="13" style="346" customWidth="1"/>
    <col min="4" max="13" width="7.140625" style="346" hidden="1" customWidth="1"/>
    <col min="14" max="14" width="2.28515625" style="346" customWidth="1"/>
    <col min="15" max="15" width="13" style="346" customWidth="1"/>
    <col min="16" max="25" width="7.140625" style="346" hidden="1" customWidth="1"/>
    <col min="26" max="26" width="2.28515625" style="346" customWidth="1"/>
    <col min="27" max="27" width="13" style="346" customWidth="1"/>
    <col min="28" max="37" width="7.140625" style="346" hidden="1" customWidth="1"/>
    <col min="38" max="38" width="2.28515625" style="346" customWidth="1"/>
    <col min="39" max="39" width="13" style="346" customWidth="1"/>
    <col min="40" max="49" width="7.140625" style="346" hidden="1" customWidth="1"/>
    <col min="50" max="50" width="2.28515625" style="346" customWidth="1"/>
    <col min="51" max="51" width="12.5703125" style="346" customWidth="1"/>
    <col min="52" max="61" width="7.140625" style="346" hidden="1" customWidth="1"/>
    <col min="62" max="62" width="6.140625" style="346" customWidth="1"/>
    <col min="63" max="63" width="17.42578125" style="346" customWidth="1"/>
    <col min="64" max="73" width="7.140625" style="346" hidden="1" customWidth="1"/>
    <col min="74" max="74" width="6.140625" style="346" customWidth="1"/>
    <col min="75" max="75" width="17.42578125" style="346" customWidth="1"/>
    <col min="76" max="85" width="7.140625" style="346" hidden="1" customWidth="1"/>
    <col min="86" max="86" width="6.140625" style="346" customWidth="1"/>
    <col min="87" max="16384" width="11.42578125" style="346"/>
  </cols>
  <sheetData>
    <row r="5" spans="2:51" ht="54.75" customHeight="1"/>
    <row r="6" spans="2:51" ht="18" customHeight="1">
      <c r="B6" s="277" t="s">
        <v>240</v>
      </c>
    </row>
    <row r="7" spans="2:51" ht="18" customHeight="1">
      <c r="B7" s="277" t="s">
        <v>239</v>
      </c>
    </row>
    <row r="8" spans="2:51" ht="18" customHeight="1">
      <c r="B8" s="277" t="s">
        <v>241</v>
      </c>
    </row>
    <row r="9" spans="2:51" ht="18" customHeight="1">
      <c r="B9" s="277" t="s">
        <v>242</v>
      </c>
    </row>
    <row r="12" spans="2:51" ht="18" customHeight="1">
      <c r="B12" s="347" t="s">
        <v>228</v>
      </c>
      <c r="C12" s="278"/>
    </row>
    <row r="14" spans="2:51" ht="18" customHeight="1">
      <c r="B14" s="348" t="s">
        <v>230</v>
      </c>
      <c r="C14" s="348" t="str">
        <f>kalkulation!B1</f>
        <v>Variante 1</v>
      </c>
      <c r="D14" s="348"/>
      <c r="E14" s="348"/>
      <c r="F14" s="348"/>
      <c r="G14" s="348"/>
      <c r="H14" s="348"/>
      <c r="I14" s="348"/>
      <c r="J14" s="348"/>
      <c r="K14" s="348"/>
      <c r="L14" s="348"/>
      <c r="M14" s="348"/>
      <c r="N14" s="348"/>
      <c r="O14" s="348" t="str">
        <f>kalkulation!N1</f>
        <v>Variante 2</v>
      </c>
      <c r="P14" s="348"/>
      <c r="Q14" s="348"/>
      <c r="R14" s="348"/>
      <c r="S14" s="348"/>
      <c r="T14" s="348"/>
      <c r="U14" s="348"/>
      <c r="V14" s="348"/>
      <c r="W14" s="348"/>
      <c r="X14" s="348"/>
      <c r="Y14" s="348"/>
      <c r="Z14" s="348"/>
      <c r="AA14" s="348" t="str">
        <f>kalkulation!Z1</f>
        <v>Variante 3</v>
      </c>
      <c r="AB14" s="348"/>
      <c r="AC14" s="348"/>
      <c r="AD14" s="348"/>
      <c r="AE14" s="348"/>
      <c r="AF14" s="348"/>
      <c r="AG14" s="348"/>
      <c r="AH14" s="348"/>
      <c r="AI14" s="348"/>
      <c r="AJ14" s="348"/>
      <c r="AK14" s="348"/>
      <c r="AL14" s="348"/>
      <c r="AM14" s="348" t="str">
        <f>kalkulation!AL1</f>
        <v>Variante 4</v>
      </c>
      <c r="AN14" s="348"/>
      <c r="AO14" s="348"/>
      <c r="AP14" s="348"/>
      <c r="AQ14" s="348"/>
      <c r="AR14" s="348"/>
      <c r="AS14" s="348"/>
      <c r="AT14" s="348"/>
      <c r="AU14" s="348"/>
      <c r="AV14" s="348"/>
      <c r="AW14" s="348"/>
      <c r="AX14" s="348"/>
      <c r="AY14" s="348" t="str">
        <f>kalkulation!AX1</f>
        <v>Variante 5</v>
      </c>
    </row>
    <row r="15" spans="2:51" ht="18" customHeight="1">
      <c r="B15" s="346" t="s">
        <v>238</v>
      </c>
      <c r="C15" s="277"/>
      <c r="O15" s="277"/>
      <c r="AA15" s="277"/>
      <c r="AM15" s="277"/>
      <c r="AY15" s="277"/>
    </row>
    <row r="16" spans="2:51" ht="18" customHeight="1">
      <c r="B16" s="349" t="s">
        <v>243</v>
      </c>
      <c r="C16" s="349" t="str">
        <f>kalkulation!C9</f>
        <v>cool</v>
      </c>
      <c r="D16" s="349"/>
      <c r="E16" s="349"/>
      <c r="F16" s="349"/>
      <c r="G16" s="349"/>
      <c r="H16" s="349"/>
      <c r="I16" s="349"/>
      <c r="J16" s="349"/>
      <c r="K16" s="349"/>
      <c r="L16" s="349"/>
      <c r="M16" s="349"/>
      <c r="N16" s="349"/>
      <c r="O16" s="349" t="str">
        <f>kalkulation!O9</f>
        <v>cool</v>
      </c>
      <c r="P16" s="349"/>
      <c r="Q16" s="349"/>
      <c r="R16" s="349"/>
      <c r="S16" s="349"/>
      <c r="T16" s="349"/>
      <c r="U16" s="349"/>
      <c r="V16" s="349"/>
      <c r="W16" s="349"/>
      <c r="X16" s="349"/>
      <c r="Y16" s="349"/>
      <c r="Z16" s="349"/>
      <c r="AA16" s="349" t="str">
        <f>kalkulation!AA9</f>
        <v>cool</v>
      </c>
      <c r="AB16" s="349"/>
      <c r="AC16" s="349"/>
      <c r="AD16" s="349"/>
      <c r="AE16" s="349"/>
      <c r="AF16" s="349"/>
      <c r="AG16" s="349"/>
      <c r="AH16" s="349"/>
      <c r="AI16" s="349"/>
      <c r="AJ16" s="349"/>
      <c r="AK16" s="349"/>
      <c r="AL16" s="349"/>
      <c r="AM16" s="349" t="str">
        <f>kalkulation!AM9</f>
        <v>cool</v>
      </c>
      <c r="AN16" s="349"/>
      <c r="AO16" s="349"/>
      <c r="AP16" s="349"/>
      <c r="AQ16" s="349"/>
      <c r="AR16" s="349"/>
      <c r="AS16" s="349"/>
      <c r="AT16" s="349"/>
      <c r="AU16" s="349"/>
      <c r="AV16" s="349"/>
      <c r="AW16" s="349"/>
      <c r="AX16" s="349"/>
      <c r="AY16" s="349" t="str">
        <f>kalkulation!AY9</f>
        <v>cool</v>
      </c>
    </row>
    <row r="17" spans="2:85" ht="18" customHeight="1">
      <c r="B17" s="346" t="s">
        <v>235</v>
      </c>
      <c r="C17" s="346" t="str">
        <f>kalkulation!C2&amp;" mm"</f>
        <v>250 mm</v>
      </c>
      <c r="O17" s="346" t="str">
        <f>kalkulation!O2&amp;" mm"</f>
        <v>250 mm</v>
      </c>
      <c r="AA17" s="346" t="str">
        <f>kalkulation!AA2&amp;" mm"</f>
        <v>250 mm</v>
      </c>
      <c r="AM17" s="346" t="str">
        <f>kalkulation!AM2&amp;" mm"</f>
        <v>250 mm</v>
      </c>
      <c r="AY17" s="346" t="str">
        <f>kalkulation!AY2&amp;" mm"</f>
        <v>250 mm</v>
      </c>
    </row>
    <row r="18" spans="2:85" ht="18" customHeight="1">
      <c r="B18" s="346" t="s">
        <v>236</v>
      </c>
      <c r="C18" s="346" t="str">
        <f>kalkulation!C3&amp;" mm"</f>
        <v>175 mm</v>
      </c>
      <c r="O18" s="346" t="str">
        <f>kalkulation!O3&amp;" mm"</f>
        <v>175 mm</v>
      </c>
      <c r="AA18" s="346" t="str">
        <f>kalkulation!AA3&amp;" mm"</f>
        <v>175 mm</v>
      </c>
      <c r="AM18" s="346" t="str">
        <f>kalkulation!AM3&amp;" mm"</f>
        <v>175 mm</v>
      </c>
      <c r="AY18" s="346" t="str">
        <f>kalkulation!AY3&amp;" mm"</f>
        <v>175 mm</v>
      </c>
    </row>
    <row r="19" spans="2:85" ht="18" customHeight="1">
      <c r="B19" s="346" t="s">
        <v>237</v>
      </c>
      <c r="C19" s="346" t="str">
        <f>material!H2&amp;" mm"</f>
        <v>20 mm</v>
      </c>
      <c r="O19" s="346" t="str">
        <f>material!H2&amp;" mm"</f>
        <v>20 mm</v>
      </c>
      <c r="AA19" s="346" t="str">
        <f>[1]material!AF2&amp;" mm"</f>
        <v>20 mm</v>
      </c>
      <c r="AM19" s="346" t="str">
        <f>[1]material!AR2&amp;" mm"</f>
        <v>20 mm</v>
      </c>
      <c r="AY19" s="346" t="str">
        <f>[1]material!BD2&amp;" mm"</f>
        <v>20 mm</v>
      </c>
    </row>
    <row r="20" spans="2:85" ht="18" customHeight="1">
      <c r="B20" s="347" t="s">
        <v>209</v>
      </c>
      <c r="C20" s="350" t="str">
        <f>kalkulation!C4&amp; " Lagen"</f>
        <v>5 Lagen</v>
      </c>
      <c r="D20" s="347"/>
      <c r="E20" s="347"/>
      <c r="F20" s="347"/>
      <c r="G20" s="347"/>
      <c r="H20" s="347"/>
      <c r="I20" s="347"/>
      <c r="J20" s="347"/>
      <c r="K20" s="347"/>
      <c r="L20" s="347"/>
      <c r="M20" s="350"/>
      <c r="N20" s="347"/>
      <c r="O20" s="350" t="str">
        <f>kalkulation!O4&amp; " Lagen"</f>
        <v>5 Lagen</v>
      </c>
      <c r="P20" s="347"/>
      <c r="Q20" s="347"/>
      <c r="R20" s="347"/>
      <c r="S20" s="347"/>
      <c r="T20" s="347"/>
      <c r="U20" s="347"/>
      <c r="V20" s="347"/>
      <c r="W20" s="347"/>
      <c r="X20" s="347"/>
      <c r="Y20" s="350"/>
      <c r="Z20" s="347"/>
      <c r="AA20" s="350" t="str">
        <f>kalkulation!AA4&amp; " Lagen"</f>
        <v>5 Lagen</v>
      </c>
      <c r="AB20" s="347"/>
      <c r="AC20" s="347"/>
      <c r="AD20" s="347"/>
      <c r="AE20" s="347"/>
      <c r="AF20" s="347"/>
      <c r="AG20" s="347"/>
      <c r="AH20" s="347"/>
      <c r="AI20" s="347"/>
      <c r="AJ20" s="347"/>
      <c r="AK20" s="350"/>
      <c r="AL20" s="347"/>
      <c r="AM20" s="350" t="str">
        <f>kalkulation!AM4&amp; " Lagen"</f>
        <v>5 Lagen</v>
      </c>
      <c r="AN20" s="347"/>
      <c r="AO20" s="347"/>
      <c r="AP20" s="347"/>
      <c r="AQ20" s="347"/>
      <c r="AR20" s="347"/>
      <c r="AS20" s="347"/>
      <c r="AT20" s="347"/>
      <c r="AU20" s="347"/>
      <c r="AV20" s="347"/>
      <c r="AW20" s="350"/>
      <c r="AX20" s="347"/>
      <c r="AY20" s="350" t="str">
        <f>kalkulation!AY4&amp; " Lagen"</f>
        <v>5 Lagen</v>
      </c>
      <c r="BI20" s="351"/>
      <c r="BK20" s="351"/>
      <c r="BU20" s="351"/>
      <c r="BW20" s="351"/>
      <c r="CG20" s="351"/>
    </row>
    <row r="21" spans="2:85" ht="18" customHeight="1">
      <c r="B21" s="346" t="s">
        <v>210</v>
      </c>
      <c r="C21" s="277" t="str">
        <f>kalkulation!H2</f>
        <v>EB-Welle 4 mm</v>
      </c>
      <c r="O21" s="277" t="str">
        <f>kalkulation!H2</f>
        <v>EB-Welle 4 mm</v>
      </c>
      <c r="AA21" s="277" t="str">
        <f>kalkulation!AF2</f>
        <v>EB-Welle 4 mm</v>
      </c>
      <c r="AM21" s="277" t="str">
        <f>kalkulation!AR2</f>
        <v>EB-Welle 4 mm</v>
      </c>
      <c r="AY21" s="277" t="str">
        <f>kalkulation!BD2</f>
        <v>EB-Welle 4 mm</v>
      </c>
    </row>
    <row r="22" spans="2:85" ht="18" customHeight="1">
      <c r="B22" s="346" t="s">
        <v>208</v>
      </c>
      <c r="C22" s="346" t="str">
        <f>kalkulation!H3</f>
        <v>braun</v>
      </c>
      <c r="O22" s="346" t="str">
        <f>kalkulation!T3</f>
        <v>braun</v>
      </c>
      <c r="AA22" s="346" t="str">
        <f>kalkulation!AF3</f>
        <v>braun</v>
      </c>
      <c r="AM22" s="346" t="str">
        <f>kalkulation!AR3</f>
        <v>braun</v>
      </c>
      <c r="AY22" s="346" t="str">
        <f>kalkulation!BD3</f>
        <v>braun</v>
      </c>
    </row>
    <row r="23" spans="2:85" ht="18" customHeight="1">
      <c r="B23" s="346" t="s">
        <v>263</v>
      </c>
      <c r="C23" s="346">
        <f>kalkulation!H4</f>
        <v>0</v>
      </c>
      <c r="O23" s="346">
        <f>kalkulation!T4</f>
        <v>0</v>
      </c>
      <c r="AA23" s="346">
        <f>kalkulation!AF4</f>
        <v>0</v>
      </c>
      <c r="AM23" s="346">
        <f>kalkulation!AR4</f>
        <v>0</v>
      </c>
      <c r="AY23" s="346">
        <f>kalkulation!BD4</f>
        <v>0</v>
      </c>
    </row>
    <row r="24" spans="2:85" ht="18" customHeight="1">
      <c r="B24" s="346" t="s">
        <v>276</v>
      </c>
      <c r="C24" s="346">
        <f>kalkulation!H5</f>
        <v>0</v>
      </c>
      <c r="O24" s="346">
        <f>kalkulation!T5</f>
        <v>0</v>
      </c>
      <c r="AA24" s="346">
        <f>kalkulation!AF5</f>
        <v>0</v>
      </c>
      <c r="AM24" s="346">
        <f>kalkulation!AR5</f>
        <v>0</v>
      </c>
      <c r="AY24" s="346">
        <f>kalkulation!BD5</f>
        <v>0</v>
      </c>
    </row>
    <row r="25" spans="2:85" ht="18" customHeight="1">
      <c r="B25" s="346" t="s">
        <v>211</v>
      </c>
      <c r="C25" s="346">
        <f>kalkulation!H6</f>
        <v>0</v>
      </c>
      <c r="O25" s="346">
        <f>kalkulation!T6</f>
        <v>0</v>
      </c>
      <c r="AA25" s="346">
        <f>kalkulation!AF6</f>
        <v>0</v>
      </c>
      <c r="AM25" s="346">
        <f>kalkulation!AR6</f>
        <v>0</v>
      </c>
      <c r="AY25" s="346">
        <f>kalkulation!BD6</f>
        <v>0</v>
      </c>
    </row>
    <row r="26" spans="2:85" ht="18" customHeight="1">
      <c r="B26" s="346" t="s">
        <v>212</v>
      </c>
      <c r="C26" s="351" t="str">
        <f>kalkulation!H7&amp;" -seitig"</f>
        <v>0 -seitig</v>
      </c>
      <c r="M26" s="351"/>
      <c r="O26" s="351" t="str">
        <f>kalkulation!T7&amp;" -seitig"</f>
        <v>0 -seitig</v>
      </c>
      <c r="Y26" s="351"/>
      <c r="AA26" s="351" t="str">
        <f>kalkulation!AF7&amp;" -seitig"</f>
        <v>0 -seitig</v>
      </c>
      <c r="AK26" s="351"/>
      <c r="AM26" s="351" t="str">
        <f>kalkulation!AR7&amp;" -seitig"</f>
        <v>0 -seitig</v>
      </c>
      <c r="AW26" s="351"/>
      <c r="AY26" s="351" t="str">
        <f>kalkulation!BD7&amp;" -seitig"</f>
        <v>0 -seitig</v>
      </c>
      <c r="BI26" s="351"/>
      <c r="BK26" s="351"/>
      <c r="BU26" s="351"/>
      <c r="BW26" s="351"/>
      <c r="CG26" s="351"/>
    </row>
    <row r="27" spans="2:85" ht="18" customHeight="1">
      <c r="B27" s="346" t="s">
        <v>213</v>
      </c>
      <c r="C27" s="346">
        <f>kalkulation!H8</f>
        <v>0</v>
      </c>
      <c r="O27" s="346">
        <f>kalkulation!T8</f>
        <v>0</v>
      </c>
      <c r="AA27" s="346">
        <f>kalkulation!AF8</f>
        <v>0</v>
      </c>
      <c r="AM27" s="346">
        <f>kalkulation!AR8</f>
        <v>0</v>
      </c>
      <c r="AY27" s="346">
        <f>kalkulation!BD8</f>
        <v>0</v>
      </c>
    </row>
    <row r="28" spans="2:85" ht="18" customHeight="1">
      <c r="B28" s="346" t="s">
        <v>203</v>
      </c>
      <c r="C28" s="346" t="str">
        <f>kalkulation!C7</f>
        <v>Selbstklebend</v>
      </c>
      <c r="O28" s="346" t="str">
        <f>kalkulation!O7</f>
        <v>Selbstklebend</v>
      </c>
      <c r="AA28" s="346" t="str">
        <f>kalkulation!AA7</f>
        <v>Selbstklebend</v>
      </c>
      <c r="AM28" s="346" t="str">
        <f>kalkulation!AM7</f>
        <v>Selbstklebend</v>
      </c>
      <c r="AY28" s="346" t="str">
        <f>kalkulation!AY7</f>
        <v>Selbstklebend</v>
      </c>
    </row>
    <row r="29" spans="2:85" ht="18" customHeight="1">
      <c r="B29" s="346" t="s">
        <v>214</v>
      </c>
      <c r="C29" s="346" t="str">
        <f>kalkulation!C6</f>
        <v>nein</v>
      </c>
      <c r="O29" s="346" t="str">
        <f>kalkulation!O6</f>
        <v>nein</v>
      </c>
      <c r="AA29" s="346" t="str">
        <f>kalkulation!AA6</f>
        <v>nein</v>
      </c>
      <c r="AM29" s="346" t="str">
        <f>kalkulation!AM6</f>
        <v>nein</v>
      </c>
      <c r="AY29" s="346" t="str">
        <f>kalkulation!AY6</f>
        <v>nein</v>
      </c>
    </row>
    <row r="30" spans="2:85" ht="18" customHeight="1">
      <c r="B30" s="348" t="s">
        <v>216</v>
      </c>
      <c r="C30" s="352">
        <f>kalkulation!C5</f>
        <v>500</v>
      </c>
      <c r="D30" s="348"/>
      <c r="E30" s="348"/>
      <c r="F30" s="348"/>
      <c r="G30" s="348"/>
      <c r="H30" s="348"/>
      <c r="I30" s="348"/>
      <c r="J30" s="348"/>
      <c r="K30" s="348"/>
      <c r="L30" s="348"/>
      <c r="M30" s="352"/>
      <c r="N30" s="348"/>
      <c r="O30" s="352">
        <f>kalkulation!O5</f>
        <v>500</v>
      </c>
      <c r="P30" s="348"/>
      <c r="Q30" s="348"/>
      <c r="R30" s="348"/>
      <c r="S30" s="348"/>
      <c r="T30" s="348"/>
      <c r="U30" s="348"/>
      <c r="V30" s="348"/>
      <c r="W30" s="348"/>
      <c r="X30" s="348"/>
      <c r="Y30" s="352"/>
      <c r="Z30" s="348"/>
      <c r="AA30" s="352">
        <f>kalkulation!AA5</f>
        <v>500</v>
      </c>
      <c r="AB30" s="348"/>
      <c r="AC30" s="348"/>
      <c r="AD30" s="348"/>
      <c r="AE30" s="348"/>
      <c r="AF30" s="348"/>
      <c r="AG30" s="348"/>
      <c r="AH30" s="348"/>
      <c r="AI30" s="348"/>
      <c r="AJ30" s="348"/>
      <c r="AK30" s="352"/>
      <c r="AL30" s="348"/>
      <c r="AM30" s="352">
        <f>kalkulation!AM5</f>
        <v>500</v>
      </c>
      <c r="AN30" s="348"/>
      <c r="AO30" s="348"/>
      <c r="AP30" s="348"/>
      <c r="AQ30" s="348"/>
      <c r="AR30" s="348"/>
      <c r="AS30" s="348"/>
      <c r="AT30" s="348"/>
      <c r="AU30" s="348"/>
      <c r="AV30" s="348"/>
      <c r="AW30" s="352"/>
      <c r="AX30" s="348"/>
      <c r="AY30" s="352">
        <f>kalkulation!AY5</f>
        <v>500</v>
      </c>
      <c r="BI30" s="351"/>
      <c r="BK30" s="351"/>
      <c r="BU30" s="351"/>
      <c r="BW30" s="351"/>
      <c r="CG30" s="351"/>
    </row>
    <row r="31" spans="2:85" ht="18" customHeight="1">
      <c r="B31" s="348" t="s">
        <v>217</v>
      </c>
      <c r="C31" s="353">
        <f ca="1">kalkulation!E9</f>
        <v>4.2900669642857139</v>
      </c>
      <c r="D31" s="348"/>
      <c r="E31" s="348"/>
      <c r="F31" s="348"/>
      <c r="G31" s="348"/>
      <c r="H31" s="348"/>
      <c r="I31" s="348"/>
      <c r="J31" s="348"/>
      <c r="K31" s="348"/>
      <c r="L31" s="348"/>
      <c r="M31" s="353"/>
      <c r="N31" s="348"/>
      <c r="O31" s="353">
        <f ca="1">kalkulation!Q9</f>
        <v>4.2900669642857139</v>
      </c>
      <c r="P31" s="348"/>
      <c r="Q31" s="348"/>
      <c r="R31" s="348"/>
      <c r="S31" s="348"/>
      <c r="T31" s="348"/>
      <c r="U31" s="348"/>
      <c r="V31" s="348"/>
      <c r="W31" s="348"/>
      <c r="X31" s="348"/>
      <c r="Y31" s="353"/>
      <c r="Z31" s="348"/>
      <c r="AA31" s="353">
        <f ca="1">kalkulation!AC9</f>
        <v>4.2900669642857139</v>
      </c>
      <c r="AB31" s="348"/>
      <c r="AC31" s="348"/>
      <c r="AD31" s="348"/>
      <c r="AE31" s="348"/>
      <c r="AF31" s="348"/>
      <c r="AG31" s="348"/>
      <c r="AH31" s="348"/>
      <c r="AI31" s="348"/>
      <c r="AJ31" s="348"/>
      <c r="AK31" s="353"/>
      <c r="AL31" s="348"/>
      <c r="AM31" s="353">
        <f ca="1">kalkulation!AO9</f>
        <v>4.2900669642857139</v>
      </c>
      <c r="AN31" s="348"/>
      <c r="AO31" s="348"/>
      <c r="AP31" s="348"/>
      <c r="AQ31" s="348"/>
      <c r="AR31" s="348"/>
      <c r="AS31" s="348"/>
      <c r="AT31" s="348"/>
      <c r="AU31" s="348"/>
      <c r="AV31" s="348"/>
      <c r="AW31" s="353"/>
      <c r="AX31" s="348"/>
      <c r="AY31" s="353">
        <f ca="1">kalkulation!BA9</f>
        <v>4.2900669642857139</v>
      </c>
      <c r="BI31" s="354"/>
      <c r="BK31" s="355"/>
      <c r="BU31" s="354"/>
      <c r="BW31" s="354"/>
      <c r="CG31" s="354"/>
    </row>
    <row r="33" spans="2:51" ht="18" customHeight="1">
      <c r="B33" s="346" t="s">
        <v>260</v>
      </c>
      <c r="C33" s="277" t="str">
        <f>"cirka "&amp;C42&amp;" Wochen"</f>
        <v>cirka 3 Wochen</v>
      </c>
      <c r="O33" s="277" t="str">
        <f>"cirka "&amp;O42&amp;" Wochen"</f>
        <v>cirka 3 Wochen</v>
      </c>
      <c r="AA33" s="277" t="str">
        <f>"cirka "&amp;AA42&amp;" Wochen"</f>
        <v>cirka 3 Wochen</v>
      </c>
      <c r="AM33" s="277" t="str">
        <f>"cirka "&amp;AM42&amp;" Wochen"</f>
        <v>cirka 3 Wochen</v>
      </c>
      <c r="AY33" s="277" t="str">
        <f>"cirka "&amp;AY42&amp;" Wochen"</f>
        <v>cirka 3 Wochen</v>
      </c>
    </row>
    <row r="34" spans="2:51" ht="18" customHeight="1">
      <c r="B34" s="346" t="s">
        <v>261</v>
      </c>
      <c r="C34" s="346" t="s">
        <v>262</v>
      </c>
    </row>
    <row r="35" spans="2:51" ht="18" customHeight="1">
      <c r="B35" s="346" t="s">
        <v>222</v>
      </c>
      <c r="C35" s="346" t="s">
        <v>224</v>
      </c>
    </row>
    <row r="36" spans="2:51" ht="18" customHeight="1">
      <c r="B36" s="346" t="s">
        <v>223</v>
      </c>
      <c r="C36" s="346" t="s">
        <v>245</v>
      </c>
    </row>
    <row r="37" spans="2:51" ht="18" customHeight="1">
      <c r="B37" s="346" t="s">
        <v>225</v>
      </c>
      <c r="C37" s="346" t="s">
        <v>226</v>
      </c>
    </row>
    <row r="39" spans="2:51" ht="18" customHeight="1">
      <c r="B39" s="346" t="s">
        <v>229</v>
      </c>
    </row>
    <row r="41" spans="2:51" ht="18" customHeight="1">
      <c r="B41" s="346" t="s">
        <v>227</v>
      </c>
    </row>
    <row r="42" spans="2:51" ht="18" customHeight="1">
      <c r="B42" s="277"/>
      <c r="C42" s="356">
        <f>ROUNDUP(2+(C30/1000),0)</f>
        <v>3</v>
      </c>
      <c r="D42" s="356"/>
      <c r="E42" s="356"/>
      <c r="F42" s="356"/>
      <c r="G42" s="356"/>
      <c r="H42" s="356"/>
      <c r="I42" s="356"/>
      <c r="J42" s="356"/>
      <c r="K42" s="356"/>
      <c r="L42" s="356"/>
      <c r="M42" s="356"/>
      <c r="N42" s="356"/>
      <c r="O42" s="356">
        <f>ROUNDUP(2+(O30/1000),0)</f>
        <v>3</v>
      </c>
      <c r="P42" s="356"/>
      <c r="Q42" s="356"/>
      <c r="R42" s="356"/>
      <c r="S42" s="356"/>
      <c r="T42" s="356"/>
      <c r="U42" s="356"/>
      <c r="V42" s="356"/>
      <c r="W42" s="356"/>
      <c r="X42" s="356"/>
      <c r="Y42" s="356"/>
      <c r="Z42" s="356"/>
      <c r="AA42" s="356">
        <f>ROUNDUP(2+(AA30/1000),0)</f>
        <v>3</v>
      </c>
      <c r="AB42" s="356"/>
      <c r="AC42" s="356"/>
      <c r="AD42" s="356"/>
      <c r="AE42" s="356"/>
      <c r="AF42" s="356"/>
      <c r="AG42" s="356"/>
      <c r="AH42" s="356"/>
      <c r="AI42" s="356"/>
      <c r="AJ42" s="356"/>
      <c r="AK42" s="356"/>
      <c r="AL42" s="356"/>
      <c r="AM42" s="356">
        <f>ROUNDUP(2+(AM30/1000),0)</f>
        <v>3</v>
      </c>
      <c r="AN42" s="356"/>
      <c r="AO42" s="356"/>
      <c r="AP42" s="356"/>
      <c r="AQ42" s="356"/>
      <c r="AR42" s="356"/>
      <c r="AS42" s="356"/>
      <c r="AT42" s="356"/>
      <c r="AU42" s="356"/>
      <c r="AV42" s="356"/>
      <c r="AW42" s="356"/>
      <c r="AX42" s="356"/>
      <c r="AY42" s="356">
        <f>ROUNDUP(2+(AY30/1000),0)</f>
        <v>3</v>
      </c>
    </row>
  </sheetData>
  <sheetProtection selectLockedCells="1"/>
  <pageMargins left="0" right="0" top="0" bottom="0" header="0.31496062992125984" footer="0.31496062992125984"/>
  <pageSetup paperSize="9" orientation="portrait" r:id="rId1"/>
  <headerFooter scaleWithDoc="0">
    <oddHeader>&amp;L&amp;G</oddHeader>
  </headerFooter>
  <ignoredErrors>
    <ignoredError sqref="C33 O33:AY33" unlockedFormula="1"/>
  </ignoredError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H129"/>
  <sheetViews>
    <sheetView workbookViewId="0">
      <pane ySplit="13" topLeftCell="A14" activePane="bottomLeft" state="frozen"/>
      <selection pane="bottomLeft"/>
    </sheetView>
  </sheetViews>
  <sheetFormatPr baseColWidth="10" defaultRowHeight="17.25" customHeight="1"/>
  <cols>
    <col min="1" max="1" width="15.42578125" style="150" customWidth="1"/>
    <col min="2" max="3" width="39.5703125" style="2" hidden="1" customWidth="1"/>
    <col min="4" max="4" width="14.85546875" style="2" customWidth="1"/>
    <col min="5" max="5" width="5.85546875" style="2" customWidth="1"/>
    <col min="6" max="6" width="6.42578125" style="3" customWidth="1"/>
    <col min="7" max="7" width="7.28515625" style="3" customWidth="1"/>
    <col min="8" max="8" width="5.28515625" style="151" customWidth="1"/>
    <col min="9" max="9" width="22.42578125" style="2" customWidth="1"/>
    <col min="10" max="10" width="6.42578125" style="2" customWidth="1"/>
    <col min="11" max="11" width="7.28515625" style="2" customWidth="1"/>
    <col min="12" max="12" width="4.140625" style="2" customWidth="1"/>
    <col min="13" max="13" width="15.42578125" style="150" customWidth="1"/>
    <col min="14" max="15" width="39.5703125" style="2" hidden="1" customWidth="1"/>
    <col min="16" max="16" width="14.85546875" style="2" customWidth="1"/>
    <col min="17" max="17" width="5.85546875" style="2" customWidth="1"/>
    <col min="18" max="18" width="6.42578125" style="3" customWidth="1"/>
    <col min="19" max="19" width="7.28515625" style="3" customWidth="1"/>
    <col min="20" max="20" width="5.28515625" style="151" customWidth="1"/>
    <col min="21" max="21" width="22.42578125" style="2" customWidth="1"/>
    <col min="22" max="22" width="6.42578125" style="2" customWidth="1"/>
    <col min="23" max="23" width="7.28515625" style="2" customWidth="1"/>
    <col min="24" max="24" width="4.140625" style="2" customWidth="1"/>
    <col min="25" max="25" width="15.42578125" style="150" customWidth="1"/>
    <col min="26" max="27" width="39.5703125" style="2" hidden="1" customWidth="1"/>
    <col min="28" max="28" width="14.85546875" style="2" customWidth="1"/>
    <col min="29" max="29" width="5.85546875" style="2" customWidth="1"/>
    <col min="30" max="30" width="6.42578125" style="3" customWidth="1"/>
    <col min="31" max="31" width="7.28515625" style="3" customWidth="1"/>
    <col min="32" max="32" width="5.28515625" style="151" customWidth="1"/>
    <col min="33" max="33" width="22.42578125" style="2" customWidth="1"/>
    <col min="34" max="34" width="6.42578125" style="2" customWidth="1"/>
    <col min="35" max="35" width="7.28515625" style="2" customWidth="1"/>
    <col min="36" max="36" width="4.140625" style="2" customWidth="1"/>
    <col min="37" max="37" width="15.42578125" style="150" customWidth="1"/>
    <col min="38" max="39" width="39.5703125" style="2" hidden="1" customWidth="1"/>
    <col min="40" max="40" width="14.85546875" style="2" customWidth="1"/>
    <col min="41" max="41" width="5.85546875" style="2" customWidth="1"/>
    <col min="42" max="42" width="6.42578125" style="3" customWidth="1"/>
    <col min="43" max="43" width="7.28515625" style="3" customWidth="1"/>
    <col min="44" max="44" width="5.28515625" style="151" customWidth="1"/>
    <col min="45" max="45" width="22.42578125" style="2" customWidth="1"/>
    <col min="46" max="46" width="6.42578125" style="2" customWidth="1"/>
    <col min="47" max="47" width="7.28515625" style="2" customWidth="1"/>
    <col min="48" max="48" width="4.140625" style="2" customWidth="1"/>
    <col min="49" max="49" width="15.42578125" style="150" customWidth="1"/>
    <col min="50" max="51" width="39.5703125" style="2" hidden="1" customWidth="1"/>
    <col min="52" max="52" width="14.85546875" style="2" customWidth="1"/>
    <col min="53" max="53" width="5.85546875" style="2" customWidth="1"/>
    <col min="54" max="54" width="6.42578125" style="3" customWidth="1"/>
    <col min="55" max="55" width="7.28515625" style="3" customWidth="1"/>
    <col min="56" max="56" width="5.28515625" style="151" customWidth="1"/>
    <col min="57" max="57" width="22.42578125" style="2" customWidth="1"/>
    <col min="58" max="58" width="6.42578125" style="2" customWidth="1"/>
    <col min="59" max="59" width="7.28515625" style="2" customWidth="1"/>
    <col min="60" max="60" width="4.140625" style="2" customWidth="1"/>
    <col min="61" max="16384" width="11.42578125" style="2"/>
  </cols>
  <sheetData>
    <row r="1" spans="1:60" ht="17.25" customHeight="1">
      <c r="A1" s="250" t="s">
        <v>188</v>
      </c>
      <c r="B1" s="245"/>
      <c r="C1" s="245"/>
      <c r="D1" s="245"/>
      <c r="E1" s="245"/>
      <c r="F1" s="251"/>
      <c r="G1" s="251"/>
      <c r="H1" s="249"/>
      <c r="I1" s="245"/>
      <c r="J1" s="245"/>
      <c r="K1" s="252"/>
      <c r="M1" s="250" t="s">
        <v>184</v>
      </c>
      <c r="N1" s="245"/>
      <c r="O1" s="245"/>
      <c r="P1" s="245"/>
      <c r="Q1" s="245"/>
      <c r="R1" s="251"/>
      <c r="S1" s="251"/>
      <c r="T1" s="249"/>
      <c r="U1" s="245"/>
      <c r="V1" s="245"/>
      <c r="W1" s="252"/>
      <c r="Y1" s="250" t="s">
        <v>185</v>
      </c>
      <c r="Z1" s="245"/>
      <c r="AA1" s="245"/>
      <c r="AB1" s="245"/>
      <c r="AC1" s="245"/>
      <c r="AD1" s="251"/>
      <c r="AE1" s="251"/>
      <c r="AF1" s="249"/>
      <c r="AG1" s="245"/>
      <c r="AH1" s="245"/>
      <c r="AI1" s="252"/>
      <c r="AK1" s="250" t="s">
        <v>186</v>
      </c>
      <c r="AL1" s="245"/>
      <c r="AM1" s="245"/>
      <c r="AN1" s="245"/>
      <c r="AO1" s="245"/>
      <c r="AP1" s="251"/>
      <c r="AQ1" s="251"/>
      <c r="AR1" s="249"/>
      <c r="AS1" s="245"/>
      <c r="AT1" s="245"/>
      <c r="AU1" s="252"/>
      <c r="AW1" s="250" t="s">
        <v>187</v>
      </c>
      <c r="AX1" s="245"/>
      <c r="AY1" s="245"/>
      <c r="AZ1" s="245"/>
      <c r="BA1" s="245"/>
      <c r="BB1" s="251"/>
      <c r="BC1" s="251"/>
      <c r="BD1" s="249"/>
      <c r="BE1" s="245"/>
      <c r="BF1" s="245"/>
      <c r="BG1" s="252"/>
    </row>
    <row r="2" spans="1:60" ht="17.25" customHeight="1">
      <c r="A2" s="246" t="s">
        <v>11</v>
      </c>
      <c r="B2" s="59"/>
      <c r="C2" s="59"/>
      <c r="D2" s="59">
        <f>kalkulation!C2</f>
        <v>250</v>
      </c>
      <c r="E2" s="270">
        <f>D2-40</f>
        <v>210</v>
      </c>
      <c r="F2" s="271"/>
      <c r="G2" s="271"/>
      <c r="H2" s="272">
        <f>J2*D4</f>
        <v>20</v>
      </c>
      <c r="I2" s="270" t="s">
        <v>233</v>
      </c>
      <c r="J2" s="270">
        <f>VLOOKUP(D14,bogenpreise!$A$3:$B$19,2,FALSE)</f>
        <v>4</v>
      </c>
      <c r="K2" s="254"/>
      <c r="M2" s="246" t="s">
        <v>11</v>
      </c>
      <c r="N2" s="59"/>
      <c r="O2" s="59"/>
      <c r="P2" s="59">
        <f>kalkulation!O2</f>
        <v>250</v>
      </c>
      <c r="Q2" s="59"/>
      <c r="R2" s="253"/>
      <c r="S2" s="253"/>
      <c r="T2" s="154">
        <f>V2*P4</f>
        <v>20</v>
      </c>
      <c r="U2" s="59" t="s">
        <v>233</v>
      </c>
      <c r="V2" s="59">
        <f>VLOOKUP(P14,bogenpreise!$A$3:$B$19,2,FALSE)</f>
        <v>4</v>
      </c>
      <c r="W2" s="254"/>
      <c r="Y2" s="246" t="s">
        <v>11</v>
      </c>
      <c r="Z2" s="59"/>
      <c r="AA2" s="59"/>
      <c r="AB2" s="59">
        <f>kalkulation!AA2</f>
        <v>250</v>
      </c>
      <c r="AC2" s="59"/>
      <c r="AD2" s="253"/>
      <c r="AE2" s="253"/>
      <c r="AF2" s="154">
        <f>AH2*AB4</f>
        <v>20</v>
      </c>
      <c r="AG2" s="59" t="s">
        <v>233</v>
      </c>
      <c r="AH2" s="59">
        <f>VLOOKUP(AB14,bogenpreise!$A$3:$B$19,2,FALSE)</f>
        <v>4</v>
      </c>
      <c r="AI2" s="254"/>
      <c r="AK2" s="246" t="s">
        <v>11</v>
      </c>
      <c r="AL2" s="59"/>
      <c r="AM2" s="59"/>
      <c r="AN2" s="59">
        <f>kalkulation!AM2</f>
        <v>250</v>
      </c>
      <c r="AO2" s="59"/>
      <c r="AP2" s="253"/>
      <c r="AQ2" s="253"/>
      <c r="AR2" s="154">
        <f>AT2*AN4</f>
        <v>20</v>
      </c>
      <c r="AS2" s="59" t="s">
        <v>233</v>
      </c>
      <c r="AT2" s="59">
        <f>VLOOKUP(AN14,bogenpreise!$A$3:$B$19,2,FALSE)</f>
        <v>4</v>
      </c>
      <c r="AU2" s="254"/>
      <c r="AW2" s="246" t="s">
        <v>11</v>
      </c>
      <c r="AX2" s="59"/>
      <c r="AY2" s="59"/>
      <c r="AZ2" s="59">
        <f>kalkulation!AY2</f>
        <v>250</v>
      </c>
      <c r="BA2" s="59"/>
      <c r="BB2" s="253"/>
      <c r="BC2" s="253"/>
      <c r="BD2" s="154">
        <f>BF2*AZ4</f>
        <v>20</v>
      </c>
      <c r="BE2" s="59" t="s">
        <v>233</v>
      </c>
      <c r="BF2" s="59">
        <f>VLOOKUP(AZ14,bogenpreise!$A$3:$B$19,2,FALSE)</f>
        <v>4</v>
      </c>
      <c r="BG2" s="254"/>
    </row>
    <row r="3" spans="1:60" ht="17.25" customHeight="1">
      <c r="A3" s="246" t="s">
        <v>9</v>
      </c>
      <c r="B3" s="59"/>
      <c r="C3" s="59"/>
      <c r="D3" s="59">
        <f>kalkulation!C3</f>
        <v>175</v>
      </c>
      <c r="E3" s="270">
        <f>D3-40</f>
        <v>135</v>
      </c>
      <c r="F3" s="271"/>
      <c r="G3" s="271"/>
      <c r="H3" s="272">
        <f>J2*(D4-2)</f>
        <v>12</v>
      </c>
      <c r="I3" s="270" t="s">
        <v>234</v>
      </c>
      <c r="J3" s="270"/>
      <c r="K3" s="254"/>
      <c r="M3" s="246" t="s">
        <v>9</v>
      </c>
      <c r="N3" s="59"/>
      <c r="O3" s="59"/>
      <c r="P3" s="59">
        <f>kalkulation!O3</f>
        <v>175</v>
      </c>
      <c r="Q3" s="59"/>
      <c r="R3" s="253"/>
      <c r="S3" s="253"/>
      <c r="T3" s="154">
        <f>V2*(P4-2)</f>
        <v>12</v>
      </c>
      <c r="U3" s="59" t="s">
        <v>234</v>
      </c>
      <c r="V3" s="59"/>
      <c r="W3" s="254"/>
      <c r="Y3" s="246" t="s">
        <v>9</v>
      </c>
      <c r="Z3" s="59"/>
      <c r="AA3" s="59"/>
      <c r="AB3" s="59">
        <f>kalkulation!AA3</f>
        <v>175</v>
      </c>
      <c r="AC3" s="59"/>
      <c r="AD3" s="253"/>
      <c r="AE3" s="253"/>
      <c r="AF3" s="154">
        <f>AH2*(AB4-2)</f>
        <v>12</v>
      </c>
      <c r="AG3" s="59" t="s">
        <v>234</v>
      </c>
      <c r="AH3" s="59"/>
      <c r="AI3" s="254"/>
      <c r="AK3" s="246" t="s">
        <v>9</v>
      </c>
      <c r="AL3" s="59"/>
      <c r="AM3" s="59"/>
      <c r="AN3" s="59">
        <f>kalkulation!AM3</f>
        <v>175</v>
      </c>
      <c r="AO3" s="59"/>
      <c r="AP3" s="253"/>
      <c r="AQ3" s="253"/>
      <c r="AR3" s="154">
        <f>AT2*(AN4-2)</f>
        <v>12</v>
      </c>
      <c r="AS3" s="59" t="s">
        <v>234</v>
      </c>
      <c r="AT3" s="59"/>
      <c r="AU3" s="254"/>
      <c r="AW3" s="246" t="s">
        <v>9</v>
      </c>
      <c r="AX3" s="59"/>
      <c r="AY3" s="59"/>
      <c r="AZ3" s="59">
        <f>kalkulation!AY3</f>
        <v>175</v>
      </c>
      <c r="BA3" s="59"/>
      <c r="BB3" s="253"/>
      <c r="BC3" s="253"/>
      <c r="BD3" s="154">
        <f>BF2*(AZ4-2)</f>
        <v>12</v>
      </c>
      <c r="BE3" s="59" t="s">
        <v>234</v>
      </c>
      <c r="BF3" s="59"/>
      <c r="BG3" s="254"/>
    </row>
    <row r="4" spans="1:60" ht="17.25" customHeight="1">
      <c r="A4" s="246" t="s">
        <v>112</v>
      </c>
      <c r="B4" s="59"/>
      <c r="C4" s="59"/>
      <c r="D4" s="59">
        <f>kalkulation!C4</f>
        <v>5</v>
      </c>
      <c r="E4" s="59"/>
      <c r="F4" s="253"/>
      <c r="G4" s="253"/>
      <c r="H4" s="154"/>
      <c r="I4" s="59"/>
      <c r="J4" s="59"/>
      <c r="K4" s="254"/>
      <c r="M4" s="246" t="s">
        <v>112</v>
      </c>
      <c r="N4" s="59"/>
      <c r="O4" s="59"/>
      <c r="P4" s="59">
        <f>kalkulation!O4</f>
        <v>5</v>
      </c>
      <c r="Q4" s="59"/>
      <c r="R4" s="253"/>
      <c r="S4" s="253"/>
      <c r="T4" s="154"/>
      <c r="U4" s="59"/>
      <c r="V4" s="59"/>
      <c r="W4" s="254"/>
      <c r="Y4" s="246" t="s">
        <v>112</v>
      </c>
      <c r="Z4" s="59"/>
      <c r="AA4" s="59"/>
      <c r="AB4" s="59">
        <f>kalkulation!AA4</f>
        <v>5</v>
      </c>
      <c r="AC4" s="59"/>
      <c r="AD4" s="253"/>
      <c r="AE4" s="253"/>
      <c r="AF4" s="154"/>
      <c r="AG4" s="59"/>
      <c r="AH4" s="59"/>
      <c r="AI4" s="254"/>
      <c r="AK4" s="246" t="s">
        <v>112</v>
      </c>
      <c r="AL4" s="59"/>
      <c r="AM4" s="59"/>
      <c r="AN4" s="59">
        <f>kalkulation!AM4</f>
        <v>5</v>
      </c>
      <c r="AO4" s="59"/>
      <c r="AP4" s="253"/>
      <c r="AQ4" s="253"/>
      <c r="AR4" s="154"/>
      <c r="AS4" s="59"/>
      <c r="AT4" s="59"/>
      <c r="AU4" s="254"/>
      <c r="AW4" s="246" t="s">
        <v>112</v>
      </c>
      <c r="AX4" s="59"/>
      <c r="AY4" s="59"/>
      <c r="AZ4" s="59">
        <f>kalkulation!AY4</f>
        <v>5</v>
      </c>
      <c r="BA4" s="59"/>
      <c r="BB4" s="253"/>
      <c r="BC4" s="253"/>
      <c r="BD4" s="154"/>
      <c r="BE4" s="59"/>
      <c r="BF4" s="59"/>
      <c r="BG4" s="254"/>
    </row>
    <row r="5" spans="1:60" ht="17.25" customHeight="1">
      <c r="A5" s="246" t="s">
        <v>113</v>
      </c>
      <c r="B5" s="59"/>
      <c r="C5" s="59"/>
      <c r="D5" s="59">
        <f>kalkulation!C5</f>
        <v>500</v>
      </c>
      <c r="E5" s="59"/>
      <c r="F5" s="253"/>
      <c r="G5" s="253"/>
      <c r="H5" s="154"/>
      <c r="I5" s="59"/>
      <c r="J5" s="59"/>
      <c r="K5" s="254"/>
      <c r="M5" s="246" t="s">
        <v>113</v>
      </c>
      <c r="N5" s="59"/>
      <c r="O5" s="59"/>
      <c r="P5" s="59">
        <f>kalkulation!O5</f>
        <v>500</v>
      </c>
      <c r="Q5" s="59"/>
      <c r="R5" s="253"/>
      <c r="S5" s="253"/>
      <c r="T5" s="154"/>
      <c r="U5" s="59"/>
      <c r="V5" s="59"/>
      <c r="W5" s="254"/>
      <c r="Y5" s="246" t="s">
        <v>113</v>
      </c>
      <c r="Z5" s="59"/>
      <c r="AA5" s="59"/>
      <c r="AB5" s="59">
        <f>kalkulation!AA5</f>
        <v>500</v>
      </c>
      <c r="AC5" s="59"/>
      <c r="AD5" s="253"/>
      <c r="AE5" s="253"/>
      <c r="AF5" s="154"/>
      <c r="AG5" s="59"/>
      <c r="AH5" s="59"/>
      <c r="AI5" s="254"/>
      <c r="AK5" s="246" t="s">
        <v>113</v>
      </c>
      <c r="AL5" s="59"/>
      <c r="AM5" s="59"/>
      <c r="AN5" s="59">
        <f>kalkulation!AM5</f>
        <v>500</v>
      </c>
      <c r="AO5" s="59"/>
      <c r="AP5" s="253"/>
      <c r="AQ5" s="253"/>
      <c r="AR5" s="154"/>
      <c r="AS5" s="59"/>
      <c r="AT5" s="59"/>
      <c r="AU5" s="254"/>
      <c r="AW5" s="246" t="s">
        <v>113</v>
      </c>
      <c r="AX5" s="59"/>
      <c r="AY5" s="59"/>
      <c r="AZ5" s="59">
        <f>kalkulation!AY5</f>
        <v>500</v>
      </c>
      <c r="BA5" s="59"/>
      <c r="BB5" s="253"/>
      <c r="BC5" s="253"/>
      <c r="BD5" s="154"/>
      <c r="BE5" s="59"/>
      <c r="BF5" s="59"/>
      <c r="BG5" s="254"/>
    </row>
    <row r="6" spans="1:60" ht="17.25" customHeight="1">
      <c r="A6" s="246" t="s">
        <v>124</v>
      </c>
      <c r="B6" s="59"/>
      <c r="C6" s="59"/>
      <c r="D6" s="253">
        <f>(((D2+D3)/2)*(((D2+D3)/1.4)-((D2-D3)/2)+(D2-D3)/2))/1000000</f>
        <v>6.4508928571428578E-2</v>
      </c>
      <c r="E6" s="59"/>
      <c r="F6" s="253"/>
      <c r="G6" s="253"/>
      <c r="H6" s="255"/>
      <c r="I6" s="59"/>
      <c r="J6" s="59"/>
      <c r="K6" s="254"/>
      <c r="M6" s="246" t="s">
        <v>124</v>
      </c>
      <c r="N6" s="59"/>
      <c r="O6" s="59"/>
      <c r="P6" s="253">
        <f>(((P2+P3)/2)*(((P2+P3)/1.4)-((P2-P3)/2)+(P2-P3)/2))/1000000</f>
        <v>6.4508928571428578E-2</v>
      </c>
      <c r="Q6" s="59"/>
      <c r="R6" s="253"/>
      <c r="S6" s="253"/>
      <c r="T6" s="255"/>
      <c r="U6" s="59"/>
      <c r="V6" s="59"/>
      <c r="W6" s="254"/>
      <c r="Y6" s="246" t="s">
        <v>124</v>
      </c>
      <c r="Z6" s="59"/>
      <c r="AA6" s="59"/>
      <c r="AB6" s="253">
        <f>(((AB2+AB3)/2)*(((AB2+AB3)/1.4)-((AB2-AB3)/2)+(AB2-AB3)/2))/1000000</f>
        <v>6.4508928571428578E-2</v>
      </c>
      <c r="AC6" s="59"/>
      <c r="AD6" s="253"/>
      <c r="AE6" s="253"/>
      <c r="AF6" s="255"/>
      <c r="AG6" s="59"/>
      <c r="AH6" s="59"/>
      <c r="AI6" s="254"/>
      <c r="AK6" s="246" t="s">
        <v>124</v>
      </c>
      <c r="AL6" s="59"/>
      <c r="AM6" s="59"/>
      <c r="AN6" s="253">
        <f>(((AN2+AN3)/2)*(((AN2+AN3)/1.4)-((AN2-AN3)/2)+(AN2-AN3)/2))/1000000</f>
        <v>6.4508928571428578E-2</v>
      </c>
      <c r="AO6" s="59"/>
      <c r="AP6" s="253"/>
      <c r="AQ6" s="253"/>
      <c r="AR6" s="255"/>
      <c r="AS6" s="59"/>
      <c r="AT6" s="59"/>
      <c r="AU6" s="254"/>
      <c r="AW6" s="246" t="s">
        <v>124</v>
      </c>
      <c r="AX6" s="59"/>
      <c r="AY6" s="59"/>
      <c r="AZ6" s="253">
        <f>(((AZ2+AZ3)/2)*(((AZ2+AZ3)/1.4)-((AZ2-AZ3)/2)+(AZ2-AZ3)/2))/1000000</f>
        <v>6.4508928571428578E-2</v>
      </c>
      <c r="BA6" s="59"/>
      <c r="BB6" s="253"/>
      <c r="BC6" s="253"/>
      <c r="BD6" s="255"/>
      <c r="BE6" s="59"/>
      <c r="BF6" s="59"/>
      <c r="BG6" s="254"/>
    </row>
    <row r="7" spans="1:60" ht="17.25" customHeight="1">
      <c r="A7" s="246" t="s">
        <v>126</v>
      </c>
      <c r="B7" s="59"/>
      <c r="C7" s="59"/>
      <c r="D7" s="253">
        <f>D6*D4</f>
        <v>0.3225446428571429</v>
      </c>
      <c r="E7" s="59"/>
      <c r="F7" s="253"/>
      <c r="G7" s="253"/>
      <c r="H7" s="255"/>
      <c r="I7" s="59"/>
      <c r="J7" s="59"/>
      <c r="K7" s="254"/>
      <c r="M7" s="246" t="s">
        <v>126</v>
      </c>
      <c r="N7" s="59"/>
      <c r="O7" s="59"/>
      <c r="P7" s="253">
        <f>P6*P4</f>
        <v>0.3225446428571429</v>
      </c>
      <c r="Q7" s="59"/>
      <c r="R7" s="253"/>
      <c r="S7" s="253"/>
      <c r="T7" s="255"/>
      <c r="U7" s="59"/>
      <c r="V7" s="59"/>
      <c r="W7" s="254"/>
      <c r="Y7" s="246" t="s">
        <v>126</v>
      </c>
      <c r="Z7" s="59"/>
      <c r="AA7" s="59"/>
      <c r="AB7" s="253">
        <f>AB6*AB4</f>
        <v>0.3225446428571429</v>
      </c>
      <c r="AC7" s="59"/>
      <c r="AD7" s="253"/>
      <c r="AE7" s="253"/>
      <c r="AF7" s="255"/>
      <c r="AG7" s="59"/>
      <c r="AH7" s="59"/>
      <c r="AI7" s="254"/>
      <c r="AK7" s="246" t="s">
        <v>126</v>
      </c>
      <c r="AL7" s="59"/>
      <c r="AM7" s="59"/>
      <c r="AN7" s="253">
        <f>AN6*AN4</f>
        <v>0.3225446428571429</v>
      </c>
      <c r="AO7" s="59"/>
      <c r="AP7" s="253"/>
      <c r="AQ7" s="253"/>
      <c r="AR7" s="255"/>
      <c r="AS7" s="59"/>
      <c r="AT7" s="59"/>
      <c r="AU7" s="254"/>
      <c r="AW7" s="246" t="s">
        <v>126</v>
      </c>
      <c r="AX7" s="59"/>
      <c r="AY7" s="59"/>
      <c r="AZ7" s="253">
        <f>AZ6*AZ4</f>
        <v>0.3225446428571429</v>
      </c>
      <c r="BA7" s="59"/>
      <c r="BB7" s="253"/>
      <c r="BC7" s="253"/>
      <c r="BD7" s="255"/>
      <c r="BE7" s="59"/>
      <c r="BF7" s="59"/>
      <c r="BG7" s="254"/>
    </row>
    <row r="8" spans="1:60" ht="17.25" customHeight="1">
      <c r="A8" s="246" t="s">
        <v>127</v>
      </c>
      <c r="B8" s="59"/>
      <c r="C8" s="59"/>
      <c r="D8" s="102" t="str">
        <f>kalkulation!H2</f>
        <v>EB-Welle 4 mm</v>
      </c>
      <c r="E8" s="59" t="str">
        <f>kalkulation!H3</f>
        <v>braun</v>
      </c>
      <c r="F8" s="253"/>
      <c r="G8" s="253"/>
      <c r="H8" s="154"/>
      <c r="I8" s="59"/>
      <c r="J8" s="59"/>
      <c r="K8" s="254"/>
      <c r="M8" s="246" t="s">
        <v>127</v>
      </c>
      <c r="N8" s="59"/>
      <c r="O8" s="59"/>
      <c r="P8" s="102" t="str">
        <f>kalkulation!T2</f>
        <v>EB-Welle 4 mm</v>
      </c>
      <c r="Q8" s="59" t="str">
        <f>kalkulation!T3</f>
        <v>braun</v>
      </c>
      <c r="R8" s="253"/>
      <c r="S8" s="253"/>
      <c r="T8" s="154"/>
      <c r="U8" s="59"/>
      <c r="V8" s="59"/>
      <c r="W8" s="254"/>
      <c r="Y8" s="246" t="s">
        <v>127</v>
      </c>
      <c r="Z8" s="59"/>
      <c r="AA8" s="59"/>
      <c r="AB8" s="102" t="str">
        <f>kalkulation!AF2</f>
        <v>EB-Welle 4 mm</v>
      </c>
      <c r="AC8" s="59" t="str">
        <f>kalkulation!AF3</f>
        <v>braun</v>
      </c>
      <c r="AD8" s="253"/>
      <c r="AE8" s="253"/>
      <c r="AF8" s="154"/>
      <c r="AG8" s="59"/>
      <c r="AH8" s="59"/>
      <c r="AI8" s="254"/>
      <c r="AK8" s="246" t="s">
        <v>127</v>
      </c>
      <c r="AL8" s="59"/>
      <c r="AM8" s="59"/>
      <c r="AN8" s="102" t="str">
        <f>kalkulation!AR2</f>
        <v>EB-Welle 4 mm</v>
      </c>
      <c r="AO8" s="59" t="str">
        <f>kalkulation!AR3</f>
        <v>braun</v>
      </c>
      <c r="AP8" s="253"/>
      <c r="AQ8" s="253"/>
      <c r="AR8" s="154"/>
      <c r="AS8" s="59"/>
      <c r="AT8" s="59"/>
      <c r="AU8" s="254"/>
      <c r="AW8" s="246" t="s">
        <v>127</v>
      </c>
      <c r="AX8" s="59"/>
      <c r="AY8" s="59"/>
      <c r="AZ8" s="102" t="str">
        <f>kalkulation!BD2</f>
        <v>EB-Welle 4 mm</v>
      </c>
      <c r="BA8" s="59" t="str">
        <f>kalkulation!BD3</f>
        <v>braun</v>
      </c>
      <c r="BB8" s="253"/>
      <c r="BC8" s="253"/>
      <c r="BD8" s="154"/>
      <c r="BE8" s="59"/>
      <c r="BF8" s="59"/>
      <c r="BG8" s="254"/>
    </row>
    <row r="9" spans="1:60" ht="17.25" customHeight="1">
      <c r="A9" s="246" t="s">
        <v>130</v>
      </c>
      <c r="B9" s="102"/>
      <c r="C9" s="59"/>
      <c r="D9" s="253">
        <v>1</v>
      </c>
      <c r="E9" s="59" t="s">
        <v>131</v>
      </c>
      <c r="F9" s="253"/>
      <c r="G9" s="253"/>
      <c r="H9" s="154"/>
      <c r="I9" s="59"/>
      <c r="J9" s="59"/>
      <c r="K9" s="254"/>
      <c r="M9" s="246" t="s">
        <v>130</v>
      </c>
      <c r="N9" s="102"/>
      <c r="O9" s="59"/>
      <c r="P9" s="253">
        <v>1</v>
      </c>
      <c r="Q9" s="59" t="s">
        <v>131</v>
      </c>
      <c r="R9" s="253"/>
      <c r="S9" s="253"/>
      <c r="T9" s="154"/>
      <c r="U9" s="59"/>
      <c r="V9" s="59"/>
      <c r="W9" s="254"/>
      <c r="Y9" s="246" t="s">
        <v>130</v>
      </c>
      <c r="Z9" s="102"/>
      <c r="AA9" s="59"/>
      <c r="AB9" s="253">
        <v>1</v>
      </c>
      <c r="AC9" s="59" t="s">
        <v>131</v>
      </c>
      <c r="AD9" s="253"/>
      <c r="AE9" s="253"/>
      <c r="AF9" s="154"/>
      <c r="AG9" s="59"/>
      <c r="AH9" s="59"/>
      <c r="AI9" s="254"/>
      <c r="AK9" s="246" t="s">
        <v>130</v>
      </c>
      <c r="AL9" s="102"/>
      <c r="AM9" s="59"/>
      <c r="AN9" s="253">
        <v>1</v>
      </c>
      <c r="AO9" s="59" t="s">
        <v>131</v>
      </c>
      <c r="AP9" s="253"/>
      <c r="AQ9" s="253"/>
      <c r="AR9" s="154"/>
      <c r="AS9" s="59"/>
      <c r="AT9" s="59"/>
      <c r="AU9" s="254"/>
      <c r="AW9" s="246" t="s">
        <v>130</v>
      </c>
      <c r="AX9" s="102"/>
      <c r="AY9" s="59"/>
      <c r="AZ9" s="253">
        <v>1</v>
      </c>
      <c r="BA9" s="59" t="s">
        <v>131</v>
      </c>
      <c r="BB9" s="253"/>
      <c r="BC9" s="253"/>
      <c r="BD9" s="154"/>
      <c r="BE9" s="59"/>
      <c r="BF9" s="59"/>
      <c r="BG9" s="254"/>
    </row>
    <row r="10" spans="1:60" ht="17.25" customHeight="1">
      <c r="A10" s="246" t="s">
        <v>128</v>
      </c>
      <c r="B10" s="102"/>
      <c r="C10" s="59"/>
      <c r="D10" s="163">
        <f ca="1">D11/D4</f>
        <v>4.838169642857143E-2</v>
      </c>
      <c r="E10" s="59" t="s">
        <v>181</v>
      </c>
      <c r="F10" s="253"/>
      <c r="G10" s="253"/>
      <c r="H10" s="154"/>
      <c r="I10" s="59"/>
      <c r="J10" s="59"/>
      <c r="K10" s="254"/>
      <c r="M10" s="246" t="s">
        <v>128</v>
      </c>
      <c r="N10" s="102"/>
      <c r="O10" s="59"/>
      <c r="P10" s="163">
        <f ca="1">P11/P4</f>
        <v>4.838169642857143E-2</v>
      </c>
      <c r="Q10" s="59" t="s">
        <v>181</v>
      </c>
      <c r="R10" s="253"/>
      <c r="S10" s="253"/>
      <c r="T10" s="154"/>
      <c r="U10" s="59"/>
      <c r="V10" s="59"/>
      <c r="W10" s="254"/>
      <c r="Y10" s="246" t="s">
        <v>128</v>
      </c>
      <c r="Z10" s="102"/>
      <c r="AA10" s="59"/>
      <c r="AB10" s="163">
        <f ca="1">AB11/AB4</f>
        <v>4.838169642857143E-2</v>
      </c>
      <c r="AC10" s="59" t="s">
        <v>181</v>
      </c>
      <c r="AD10" s="253"/>
      <c r="AE10" s="253"/>
      <c r="AF10" s="154"/>
      <c r="AG10" s="59"/>
      <c r="AH10" s="59"/>
      <c r="AI10" s="254"/>
      <c r="AK10" s="246" t="s">
        <v>128</v>
      </c>
      <c r="AL10" s="102"/>
      <c r="AM10" s="59"/>
      <c r="AN10" s="163">
        <f ca="1">AN11/AN4</f>
        <v>4.838169642857143E-2</v>
      </c>
      <c r="AO10" s="59" t="s">
        <v>181</v>
      </c>
      <c r="AP10" s="253"/>
      <c r="AQ10" s="253"/>
      <c r="AR10" s="154"/>
      <c r="AS10" s="59"/>
      <c r="AT10" s="59"/>
      <c r="AU10" s="254"/>
      <c r="AW10" s="246" t="s">
        <v>128</v>
      </c>
      <c r="AX10" s="102"/>
      <c r="AY10" s="59"/>
      <c r="AZ10" s="163">
        <f ca="1">AZ11/AZ4</f>
        <v>4.838169642857143E-2</v>
      </c>
      <c r="BA10" s="59" t="s">
        <v>181</v>
      </c>
      <c r="BB10" s="253"/>
      <c r="BC10" s="253"/>
      <c r="BD10" s="154"/>
      <c r="BE10" s="59"/>
      <c r="BF10" s="59"/>
      <c r="BG10" s="254"/>
    </row>
    <row r="11" spans="1:60" ht="17.25" customHeight="1">
      <c r="A11" s="246" t="s">
        <v>129</v>
      </c>
      <c r="B11" s="102"/>
      <c r="C11" s="59"/>
      <c r="D11" s="253">
        <f ca="1">IF(G13&gt;K13,G13,K13)</f>
        <v>0.24190848214285715</v>
      </c>
      <c r="E11" s="59" t="s">
        <v>183</v>
      </c>
      <c r="F11" s="253"/>
      <c r="G11" s="253"/>
      <c r="H11" s="154"/>
      <c r="I11" s="59"/>
      <c r="J11" s="59"/>
      <c r="K11" s="254"/>
      <c r="M11" s="246" t="s">
        <v>129</v>
      </c>
      <c r="N11" s="102"/>
      <c r="O11" s="59"/>
      <c r="P11" s="253">
        <f ca="1">IF(S13&gt;W13,S13,W13)</f>
        <v>0.24190848214285715</v>
      </c>
      <c r="Q11" s="59" t="s">
        <v>183</v>
      </c>
      <c r="R11" s="253"/>
      <c r="S11" s="253"/>
      <c r="T11" s="154"/>
      <c r="U11" s="59"/>
      <c r="V11" s="59"/>
      <c r="W11" s="254"/>
      <c r="Y11" s="246" t="s">
        <v>129</v>
      </c>
      <c r="Z11" s="102"/>
      <c r="AA11" s="59"/>
      <c r="AB11" s="253">
        <f ca="1">IF(AE13&gt;AI13,AE13,AI13)</f>
        <v>0.24190848214285715</v>
      </c>
      <c r="AC11" s="59" t="s">
        <v>183</v>
      </c>
      <c r="AD11" s="253"/>
      <c r="AE11" s="253"/>
      <c r="AF11" s="154"/>
      <c r="AG11" s="59"/>
      <c r="AH11" s="59"/>
      <c r="AI11" s="254"/>
      <c r="AK11" s="246" t="s">
        <v>129</v>
      </c>
      <c r="AL11" s="102"/>
      <c r="AM11" s="59"/>
      <c r="AN11" s="253">
        <f ca="1">IF(AQ13&gt;AU13,AQ13,AU13)</f>
        <v>0.24190848214285715</v>
      </c>
      <c r="AO11" s="59" t="s">
        <v>183</v>
      </c>
      <c r="AP11" s="253"/>
      <c r="AQ11" s="253"/>
      <c r="AR11" s="154"/>
      <c r="AS11" s="59"/>
      <c r="AT11" s="59"/>
      <c r="AU11" s="254"/>
      <c r="AW11" s="246" t="s">
        <v>129</v>
      </c>
      <c r="AX11" s="102"/>
      <c r="AY11" s="59"/>
      <c r="AZ11" s="253">
        <f ca="1">IF(BC13&gt;BG13,BC13,BG13)</f>
        <v>0.24190848214285715</v>
      </c>
      <c r="BA11" s="59" t="s">
        <v>183</v>
      </c>
      <c r="BB11" s="253"/>
      <c r="BC11" s="253"/>
      <c r="BD11" s="154"/>
      <c r="BE11" s="59"/>
      <c r="BF11" s="59"/>
      <c r="BG11" s="254"/>
    </row>
    <row r="12" spans="1:60" ht="17.25" customHeight="1">
      <c r="A12" s="225"/>
      <c r="B12" s="226"/>
      <c r="C12" s="226"/>
      <c r="D12" s="226"/>
      <c r="E12" s="226"/>
      <c r="F12" s="227"/>
      <c r="G12" s="247">
        <f ca="1">G13*$D$5</f>
        <v>120.95424107142857</v>
      </c>
      <c r="H12" s="232"/>
      <c r="I12" s="233"/>
      <c r="J12" s="233"/>
      <c r="K12" s="248">
        <f ca="1">K13*$D$5</f>
        <v>120.95424107142857</v>
      </c>
      <c r="M12" s="225"/>
      <c r="N12" s="226"/>
      <c r="O12" s="226"/>
      <c r="P12" s="226"/>
      <c r="Q12" s="226"/>
      <c r="R12" s="227"/>
      <c r="S12" s="247">
        <f ca="1">S13*$D$5</f>
        <v>120.95424107142857</v>
      </c>
      <c r="T12" s="232"/>
      <c r="U12" s="233"/>
      <c r="V12" s="233"/>
      <c r="W12" s="248">
        <f ca="1">W13*$D$5</f>
        <v>120.95424107142857</v>
      </c>
      <c r="Y12" s="225"/>
      <c r="Z12" s="226"/>
      <c r="AA12" s="226"/>
      <c r="AB12" s="226"/>
      <c r="AC12" s="226"/>
      <c r="AD12" s="227"/>
      <c r="AE12" s="247">
        <f ca="1">AE13*$D$5</f>
        <v>120.95424107142857</v>
      </c>
      <c r="AF12" s="232"/>
      <c r="AG12" s="233"/>
      <c r="AH12" s="233"/>
      <c r="AI12" s="248">
        <f ca="1">AI13*$D$5</f>
        <v>120.95424107142857</v>
      </c>
      <c r="AK12" s="225"/>
      <c r="AL12" s="226"/>
      <c r="AM12" s="226"/>
      <c r="AN12" s="226"/>
      <c r="AO12" s="226"/>
      <c r="AP12" s="227"/>
      <c r="AQ12" s="247">
        <f ca="1">AQ13*$D$5</f>
        <v>120.95424107142857</v>
      </c>
      <c r="AR12" s="232"/>
      <c r="AS12" s="233"/>
      <c r="AT12" s="233"/>
      <c r="AU12" s="248">
        <f ca="1">AU13*$D$5</f>
        <v>120.95424107142857</v>
      </c>
      <c r="AW12" s="225"/>
      <c r="AX12" s="226"/>
      <c r="AY12" s="226"/>
      <c r="AZ12" s="226"/>
      <c r="BA12" s="226"/>
      <c r="BB12" s="227"/>
      <c r="BC12" s="247">
        <f ca="1">BC13*$D$5</f>
        <v>120.95424107142857</v>
      </c>
      <c r="BD12" s="232"/>
      <c r="BE12" s="233"/>
      <c r="BF12" s="233"/>
      <c r="BG12" s="248">
        <f ca="1">BG13*$D$5</f>
        <v>120.95424107142857</v>
      </c>
    </row>
    <row r="13" spans="1:60" ht="17.25" customHeight="1">
      <c r="A13" s="228"/>
      <c r="B13" s="229"/>
      <c r="C13" s="229"/>
      <c r="D13" s="229"/>
      <c r="E13" s="229"/>
      <c r="F13" s="230" t="s">
        <v>122</v>
      </c>
      <c r="G13" s="231">
        <f ca="1">SUM(G14:G63)</f>
        <v>0.24190848214285715</v>
      </c>
      <c r="H13" s="234"/>
      <c r="I13" s="235"/>
      <c r="J13" s="236" t="s">
        <v>123</v>
      </c>
      <c r="K13" s="237">
        <f ca="1">SUM(K14:K63)</f>
        <v>0.24190848214285715</v>
      </c>
      <c r="M13" s="228"/>
      <c r="N13" s="229"/>
      <c r="O13" s="229"/>
      <c r="P13" s="229"/>
      <c r="Q13" s="229"/>
      <c r="R13" s="230" t="s">
        <v>122</v>
      </c>
      <c r="S13" s="231">
        <f ca="1">SUM(S14:S63)</f>
        <v>0.24190848214285715</v>
      </c>
      <c r="T13" s="234"/>
      <c r="U13" s="235"/>
      <c r="V13" s="236" t="s">
        <v>123</v>
      </c>
      <c r="W13" s="237">
        <f ca="1">SUM(W14:W63)</f>
        <v>0.24190848214285715</v>
      </c>
      <c r="Y13" s="228"/>
      <c r="Z13" s="229"/>
      <c r="AA13" s="229"/>
      <c r="AB13" s="229"/>
      <c r="AC13" s="229"/>
      <c r="AD13" s="230" t="s">
        <v>122</v>
      </c>
      <c r="AE13" s="231">
        <f ca="1">SUM(AE14:AE63)</f>
        <v>0.24190848214285715</v>
      </c>
      <c r="AF13" s="234"/>
      <c r="AG13" s="235"/>
      <c r="AH13" s="236" t="s">
        <v>123</v>
      </c>
      <c r="AI13" s="237">
        <f ca="1">SUM(AI14:AI63)</f>
        <v>0.24190848214285715</v>
      </c>
      <c r="AK13" s="228"/>
      <c r="AL13" s="229"/>
      <c r="AM13" s="229"/>
      <c r="AN13" s="229"/>
      <c r="AO13" s="229"/>
      <c r="AP13" s="230" t="s">
        <v>122</v>
      </c>
      <c r="AQ13" s="231">
        <f ca="1">SUM(AQ14:AQ63)</f>
        <v>0.24190848214285715</v>
      </c>
      <c r="AR13" s="234"/>
      <c r="AS13" s="235"/>
      <c r="AT13" s="236" t="s">
        <v>123</v>
      </c>
      <c r="AU13" s="237">
        <f ca="1">SUM(AU14:AU63)</f>
        <v>0.24190848214285715</v>
      </c>
      <c r="AW13" s="228"/>
      <c r="AX13" s="229"/>
      <c r="AY13" s="229"/>
      <c r="AZ13" s="229"/>
      <c r="BA13" s="229"/>
      <c r="BB13" s="230" t="s">
        <v>122</v>
      </c>
      <c r="BC13" s="231">
        <f ca="1">SUM(BC14:BC63)</f>
        <v>0.24190848214285715</v>
      </c>
      <c r="BD13" s="234"/>
      <c r="BE13" s="235"/>
      <c r="BF13" s="236" t="s">
        <v>123</v>
      </c>
      <c r="BG13" s="237">
        <f ca="1">SUM(BG14:BG63)</f>
        <v>0.24190848214285715</v>
      </c>
    </row>
    <row r="14" spans="1:60" ht="17.25" customHeight="1">
      <c r="A14" s="256">
        <v>1</v>
      </c>
      <c r="B14" s="257" t="str">
        <f>IF(A14&lt;=D$4,D$8,0)</f>
        <v>EB-Welle 4 mm</v>
      </c>
      <c r="C14" s="257" t="str">
        <f>IF(A14&lt;=D$4,E$8,0)</f>
        <v>braun</v>
      </c>
      <c r="D14" s="257" t="str">
        <f>B14&amp;" "&amp;C14</f>
        <v>EB-Welle 4 mm braun</v>
      </c>
      <c r="E14" s="257"/>
      <c r="F14" s="258">
        <f ca="1">SUMIF(bogenpreise!$A$2:$A$22,D14,bogenpreise!$D$2:$D$21)</f>
        <v>0.75</v>
      </c>
      <c r="G14" s="258">
        <f ca="1">(F14*D$6)*D$9</f>
        <v>4.838169642857143E-2</v>
      </c>
      <c r="H14" s="259">
        <v>1</v>
      </c>
      <c r="I14" s="260" t="str">
        <f>D14</f>
        <v>EB-Welle 4 mm braun</v>
      </c>
      <c r="J14" s="261">
        <f ca="1">SUMIF(bogenpreise!$A$2:$A$22,I14,bogenpreise!$D$2:$D$21)</f>
        <v>0.75</v>
      </c>
      <c r="K14" s="262">
        <f t="shared" ref="K14" ca="1" si="0">J14*(D$6*D$9)</f>
        <v>4.838169642857143E-2</v>
      </c>
      <c r="M14" s="256">
        <v>1</v>
      </c>
      <c r="N14" s="257" t="str">
        <f>IF(M14&lt;=P$4,P$8,0)</f>
        <v>EB-Welle 4 mm</v>
      </c>
      <c r="O14" s="257" t="str">
        <f>IF(M14&lt;=P$4,Q$8,0)</f>
        <v>braun</v>
      </c>
      <c r="P14" s="257" t="str">
        <f>N14&amp;" "&amp;O14</f>
        <v>EB-Welle 4 mm braun</v>
      </c>
      <c r="Q14" s="257"/>
      <c r="R14" s="258">
        <f ca="1">SUMIF(bogenpreise!$A$2:$A$22,P14,bogenpreise!$D$2:$D$21)</f>
        <v>0.75</v>
      </c>
      <c r="S14" s="258">
        <f ca="1">(R14*P$6)*P$9</f>
        <v>4.838169642857143E-2</v>
      </c>
      <c r="T14" s="259">
        <v>1</v>
      </c>
      <c r="U14" s="260" t="str">
        <f>P14</f>
        <v>EB-Welle 4 mm braun</v>
      </c>
      <c r="V14" s="261">
        <f ca="1">SUMIF(bogenpreise!$A$2:$A$22,U14,bogenpreise!$D$2:$D$21)</f>
        <v>0.75</v>
      </c>
      <c r="W14" s="262">
        <f t="shared" ref="W14:W63" ca="1" si="1">V14*(P$6*P$9)</f>
        <v>4.838169642857143E-2</v>
      </c>
      <c r="Y14" s="256">
        <v>1</v>
      </c>
      <c r="Z14" s="257" t="str">
        <f>IF(Y14&lt;=AB$4,AB$8,0)</f>
        <v>EB-Welle 4 mm</v>
      </c>
      <c r="AA14" s="257" t="str">
        <f>IF(Y14&lt;=AB$4,AC$8,0)</f>
        <v>braun</v>
      </c>
      <c r="AB14" s="257" t="str">
        <f>Z14&amp;" "&amp;AA14</f>
        <v>EB-Welle 4 mm braun</v>
      </c>
      <c r="AC14" s="257"/>
      <c r="AD14" s="258">
        <f ca="1">SUMIF(bogenpreise!$A$2:$A$22,AB14,bogenpreise!$D$2:$D$21)</f>
        <v>0.75</v>
      </c>
      <c r="AE14" s="258">
        <f ca="1">(AD14*AB$6)*AB$9</f>
        <v>4.838169642857143E-2</v>
      </c>
      <c r="AF14" s="259">
        <v>1</v>
      </c>
      <c r="AG14" s="260" t="str">
        <f>AB14</f>
        <v>EB-Welle 4 mm braun</v>
      </c>
      <c r="AH14" s="261">
        <f ca="1">SUMIF(bogenpreise!$A$2:$A$22,AG14,bogenpreise!$D$2:$D$21)</f>
        <v>0.75</v>
      </c>
      <c r="AI14" s="262">
        <f t="shared" ref="AI14:AI63" ca="1" si="2">AH14*(AB$6*AB$9)</f>
        <v>4.838169642857143E-2</v>
      </c>
      <c r="AK14" s="256">
        <v>1</v>
      </c>
      <c r="AL14" s="257" t="str">
        <f>IF(AK14&lt;=AN$4,AN$8,0)</f>
        <v>EB-Welle 4 mm</v>
      </c>
      <c r="AM14" s="257" t="str">
        <f>IF(AK14&lt;=AN$4,AO$8,0)</f>
        <v>braun</v>
      </c>
      <c r="AN14" s="257" t="str">
        <f>AL14&amp;" "&amp;AM14</f>
        <v>EB-Welle 4 mm braun</v>
      </c>
      <c r="AO14" s="257"/>
      <c r="AP14" s="258">
        <f ca="1">SUMIF(bogenpreise!$A$2:$A$22,AN14,bogenpreise!$D$2:$D$21)</f>
        <v>0.75</v>
      </c>
      <c r="AQ14" s="258">
        <f ca="1">(AP14*AN$6)*AN$9</f>
        <v>4.838169642857143E-2</v>
      </c>
      <c r="AR14" s="259">
        <v>1</v>
      </c>
      <c r="AS14" s="260" t="str">
        <f>AN14</f>
        <v>EB-Welle 4 mm braun</v>
      </c>
      <c r="AT14" s="261">
        <f ca="1">SUMIF(bogenpreise!$A$2:$A$22,AS14,bogenpreise!$D$2:$D$21)</f>
        <v>0.75</v>
      </c>
      <c r="AU14" s="262">
        <f t="shared" ref="AU14:AU63" ca="1" si="3">AT14*(AN$6*AN$9)</f>
        <v>4.838169642857143E-2</v>
      </c>
      <c r="AW14" s="256">
        <v>1</v>
      </c>
      <c r="AX14" s="257" t="str">
        <f>IF(AW14&lt;=AZ$4,AZ$8,0)</f>
        <v>EB-Welle 4 mm</v>
      </c>
      <c r="AY14" s="257" t="str">
        <f>IF(AW14&lt;=AZ$4,BA$8,0)</f>
        <v>braun</v>
      </c>
      <c r="AZ14" s="257" t="str">
        <f>AX14&amp;" "&amp;AY14</f>
        <v>EB-Welle 4 mm braun</v>
      </c>
      <c r="BA14" s="257"/>
      <c r="BB14" s="258">
        <f ca="1">SUMIF(bogenpreise!$A$2:$A$22,AZ14,bogenpreise!$D$2:$D$21)</f>
        <v>0.75</v>
      </c>
      <c r="BC14" s="258">
        <f ca="1">(BB14*AZ$6)*AZ$9</f>
        <v>4.838169642857143E-2</v>
      </c>
      <c r="BD14" s="259">
        <v>1</v>
      </c>
      <c r="BE14" s="260" t="str">
        <f>AZ14</f>
        <v>EB-Welle 4 mm braun</v>
      </c>
      <c r="BF14" s="261">
        <f ca="1">SUMIF(bogenpreise!$A$2:$A$22,BE14,bogenpreise!$D$2:$D$21)</f>
        <v>0.75</v>
      </c>
      <c r="BG14" s="262">
        <f t="shared" ref="BG14:BG63" ca="1" si="4">BF14*(AZ$6*AZ$9)</f>
        <v>4.838169642857143E-2</v>
      </c>
    </row>
    <row r="15" spans="1:60" ht="17.25" customHeight="1">
      <c r="A15" s="256">
        <v>2</v>
      </c>
      <c r="B15" s="257" t="str">
        <f t="shared" ref="B15:B63" si="5">IF(A15&lt;=D$4,D$8,0)</f>
        <v>EB-Welle 4 mm</v>
      </c>
      <c r="C15" s="257" t="str">
        <f t="shared" ref="C15:C63" si="6">IF(A15&lt;=D$4,E$8,0)</f>
        <v>braun</v>
      </c>
      <c r="D15" s="257" t="str">
        <f t="shared" ref="D15:D63" si="7">B15&amp;" "&amp;C15</f>
        <v>EB-Welle 4 mm braun</v>
      </c>
      <c r="E15" s="257"/>
      <c r="F15" s="258">
        <f ca="1">SUMIF(bogenpreise!$A$2:$A$22,D15,bogenpreise!$D$2:$D$21)</f>
        <v>0.75</v>
      </c>
      <c r="G15" s="258">
        <f t="shared" ref="G15:G63" ca="1" si="8">(F15*D$6)*D$9</f>
        <v>4.838169642857143E-2</v>
      </c>
      <c r="H15" s="259">
        <v>2</v>
      </c>
      <c r="I15" s="260" t="str">
        <f t="shared" ref="I15:I63" si="9">D15</f>
        <v>EB-Welle 4 mm braun</v>
      </c>
      <c r="J15" s="261">
        <f ca="1">SUMIF(bogenpreise!$A$2:$A$22,I15,bogenpreise!$D$2:$D$21)</f>
        <v>0.75</v>
      </c>
      <c r="K15" s="262">
        <f t="shared" ref="K15:K63" ca="1" si="10">J15*(D$6*D$9)</f>
        <v>4.838169642857143E-2</v>
      </c>
      <c r="M15" s="256">
        <v>2</v>
      </c>
      <c r="N15" s="257" t="str">
        <f t="shared" ref="N15:N63" si="11">IF(M15&lt;=P$4,P$8,0)</f>
        <v>EB-Welle 4 mm</v>
      </c>
      <c r="O15" s="257" t="str">
        <f t="shared" ref="O15:O63" si="12">IF(M15&lt;=P$4,Q$8,0)</f>
        <v>braun</v>
      </c>
      <c r="P15" s="257" t="str">
        <f t="shared" ref="P15:P63" si="13">N15&amp;" "&amp;O15</f>
        <v>EB-Welle 4 mm braun</v>
      </c>
      <c r="Q15" s="257"/>
      <c r="R15" s="258">
        <f ca="1">SUMIF(bogenpreise!$A$2:$A$22,P15,bogenpreise!$D$2:$D$21)</f>
        <v>0.75</v>
      </c>
      <c r="S15" s="258">
        <f t="shared" ref="S15:S63" ca="1" si="14">(R15*P$6)*P$9</f>
        <v>4.838169642857143E-2</v>
      </c>
      <c r="T15" s="259">
        <v>2</v>
      </c>
      <c r="U15" s="260" t="str">
        <f t="shared" ref="U15:U63" si="15">P15</f>
        <v>EB-Welle 4 mm braun</v>
      </c>
      <c r="V15" s="261">
        <f ca="1">SUMIF(bogenpreise!$A$2:$A$22,U15,bogenpreise!$D$2:$D$21)</f>
        <v>0.75</v>
      </c>
      <c r="W15" s="262">
        <f t="shared" ca="1" si="1"/>
        <v>4.838169642857143E-2</v>
      </c>
      <c r="Y15" s="256">
        <v>2</v>
      </c>
      <c r="Z15" s="257" t="str">
        <f t="shared" ref="Z15:Z63" si="16">IF(Y15&lt;=AB$4,AB$8,0)</f>
        <v>EB-Welle 4 mm</v>
      </c>
      <c r="AA15" s="257" t="str">
        <f t="shared" ref="AA15:AA63" si="17">IF(Y15&lt;=AB$4,AC$8,0)</f>
        <v>braun</v>
      </c>
      <c r="AB15" s="257" t="str">
        <f t="shared" ref="AB15:AB63" si="18">Z15&amp;" "&amp;AA15</f>
        <v>EB-Welle 4 mm braun</v>
      </c>
      <c r="AC15" s="257"/>
      <c r="AD15" s="258">
        <f ca="1">SUMIF(bogenpreise!$A$2:$A$22,AB15,bogenpreise!$D$2:$D$21)</f>
        <v>0.75</v>
      </c>
      <c r="AE15" s="258">
        <f t="shared" ref="AE15:AE63" ca="1" si="19">(AD15*AB$6)*AB$9</f>
        <v>4.838169642857143E-2</v>
      </c>
      <c r="AF15" s="259">
        <v>2</v>
      </c>
      <c r="AG15" s="260" t="str">
        <f t="shared" ref="AG15:AG63" si="20">AB15</f>
        <v>EB-Welle 4 mm braun</v>
      </c>
      <c r="AH15" s="261">
        <f ca="1">SUMIF(bogenpreise!$A$2:$A$22,AG15,bogenpreise!$D$2:$D$21)</f>
        <v>0.75</v>
      </c>
      <c r="AI15" s="262">
        <f t="shared" ca="1" si="2"/>
        <v>4.838169642857143E-2</v>
      </c>
      <c r="AK15" s="256">
        <v>2</v>
      </c>
      <c r="AL15" s="257" t="str">
        <f t="shared" ref="AL15:AL63" si="21">IF(AK15&lt;=AN$4,AN$8,0)</f>
        <v>EB-Welle 4 mm</v>
      </c>
      <c r="AM15" s="257" t="str">
        <f t="shared" ref="AM15:AM63" si="22">IF(AK15&lt;=AN$4,AO$8,0)</f>
        <v>braun</v>
      </c>
      <c r="AN15" s="257" t="str">
        <f t="shared" ref="AN15:AN63" si="23">AL15&amp;" "&amp;AM15</f>
        <v>EB-Welle 4 mm braun</v>
      </c>
      <c r="AO15" s="257"/>
      <c r="AP15" s="258">
        <f ca="1">SUMIF(bogenpreise!$A$2:$A$22,AN15,bogenpreise!$D$2:$D$21)</f>
        <v>0.75</v>
      </c>
      <c r="AQ15" s="258">
        <f t="shared" ref="AQ15:AQ63" ca="1" si="24">(AP15*AN$6)*AN$9</f>
        <v>4.838169642857143E-2</v>
      </c>
      <c r="AR15" s="259">
        <v>2</v>
      </c>
      <c r="AS15" s="260" t="str">
        <f t="shared" ref="AS15:AS63" si="25">AN15</f>
        <v>EB-Welle 4 mm braun</v>
      </c>
      <c r="AT15" s="261">
        <f ca="1">SUMIF(bogenpreise!$A$2:$A$22,AS15,bogenpreise!$D$2:$D$21)</f>
        <v>0.75</v>
      </c>
      <c r="AU15" s="262">
        <f t="shared" ca="1" si="3"/>
        <v>4.838169642857143E-2</v>
      </c>
      <c r="AW15" s="256">
        <v>2</v>
      </c>
      <c r="AX15" s="257" t="str">
        <f t="shared" ref="AX15:AX63" si="26">IF(AW15&lt;=AZ$4,AZ$8,0)</f>
        <v>EB-Welle 4 mm</v>
      </c>
      <c r="AY15" s="257" t="str">
        <f t="shared" ref="AY15:AY63" si="27">IF(AW15&lt;=AZ$4,BA$8,0)</f>
        <v>braun</v>
      </c>
      <c r="AZ15" s="257" t="str">
        <f t="shared" ref="AZ15:AZ63" si="28">AX15&amp;" "&amp;AY15</f>
        <v>EB-Welle 4 mm braun</v>
      </c>
      <c r="BA15" s="257"/>
      <c r="BB15" s="258">
        <f ca="1">SUMIF(bogenpreise!$A$2:$A$22,AZ15,bogenpreise!$D$2:$D$21)</f>
        <v>0.75</v>
      </c>
      <c r="BC15" s="258">
        <f t="shared" ref="BC15:BC63" ca="1" si="29">(BB15*AZ$6)*AZ$9</f>
        <v>4.838169642857143E-2</v>
      </c>
      <c r="BD15" s="259">
        <v>2</v>
      </c>
      <c r="BE15" s="260" t="str">
        <f t="shared" ref="BE15:BE63" si="30">AZ15</f>
        <v>EB-Welle 4 mm braun</v>
      </c>
      <c r="BF15" s="261">
        <f ca="1">SUMIF(bogenpreise!$A$2:$A$22,BE15,bogenpreise!$D$2:$D$21)</f>
        <v>0.75</v>
      </c>
      <c r="BG15" s="262">
        <f t="shared" ca="1" si="4"/>
        <v>4.838169642857143E-2</v>
      </c>
    </row>
    <row r="16" spans="1:60" ht="17.25" customHeight="1">
      <c r="A16" s="256">
        <v>3</v>
      </c>
      <c r="B16" s="257" t="str">
        <f t="shared" si="5"/>
        <v>EB-Welle 4 mm</v>
      </c>
      <c r="C16" s="257" t="str">
        <f t="shared" si="6"/>
        <v>braun</v>
      </c>
      <c r="D16" s="257" t="str">
        <f t="shared" si="7"/>
        <v>EB-Welle 4 mm braun</v>
      </c>
      <c r="E16" s="257"/>
      <c r="F16" s="258">
        <f ca="1">SUMIF(bogenpreise!$A$2:$A$22,D16,bogenpreise!$D$2:$D$21)</f>
        <v>0.75</v>
      </c>
      <c r="G16" s="258">
        <f t="shared" ca="1" si="8"/>
        <v>4.838169642857143E-2</v>
      </c>
      <c r="H16" s="259">
        <v>3</v>
      </c>
      <c r="I16" s="260" t="str">
        <f t="shared" si="9"/>
        <v>EB-Welle 4 mm braun</v>
      </c>
      <c r="J16" s="261">
        <f ca="1">SUMIF(bogenpreise!$A$2:$A$22,I16,bogenpreise!$D$2:$D$21)</f>
        <v>0.75</v>
      </c>
      <c r="K16" s="262">
        <f t="shared" ca="1" si="10"/>
        <v>4.838169642857143E-2</v>
      </c>
      <c r="M16" s="256">
        <v>3</v>
      </c>
      <c r="N16" s="257" t="str">
        <f t="shared" si="11"/>
        <v>EB-Welle 4 mm</v>
      </c>
      <c r="O16" s="257" t="str">
        <f t="shared" si="12"/>
        <v>braun</v>
      </c>
      <c r="P16" s="257" t="str">
        <f t="shared" si="13"/>
        <v>EB-Welle 4 mm braun</v>
      </c>
      <c r="Q16" s="257"/>
      <c r="R16" s="258">
        <f ca="1">SUMIF(bogenpreise!$A$2:$A$22,P16,bogenpreise!$D$2:$D$21)</f>
        <v>0.75</v>
      </c>
      <c r="S16" s="258">
        <f t="shared" ca="1" si="14"/>
        <v>4.838169642857143E-2</v>
      </c>
      <c r="T16" s="259">
        <v>3</v>
      </c>
      <c r="U16" s="260" t="str">
        <f t="shared" si="15"/>
        <v>EB-Welle 4 mm braun</v>
      </c>
      <c r="V16" s="261">
        <f ca="1">SUMIF(bogenpreise!$A$2:$A$22,U16,bogenpreise!$D$2:$D$21)</f>
        <v>0.75</v>
      </c>
      <c r="W16" s="262">
        <f t="shared" ca="1" si="1"/>
        <v>4.838169642857143E-2</v>
      </c>
      <c r="X16" s="150"/>
      <c r="Y16" s="256">
        <v>3</v>
      </c>
      <c r="Z16" s="257" t="str">
        <f t="shared" si="16"/>
        <v>EB-Welle 4 mm</v>
      </c>
      <c r="AA16" s="257" t="str">
        <f t="shared" si="17"/>
        <v>braun</v>
      </c>
      <c r="AB16" s="257" t="str">
        <f t="shared" si="18"/>
        <v>EB-Welle 4 mm braun</v>
      </c>
      <c r="AC16" s="257"/>
      <c r="AD16" s="258">
        <f ca="1">SUMIF(bogenpreise!$A$2:$A$22,AB16,bogenpreise!$D$2:$D$21)</f>
        <v>0.75</v>
      </c>
      <c r="AE16" s="258">
        <f t="shared" ca="1" si="19"/>
        <v>4.838169642857143E-2</v>
      </c>
      <c r="AF16" s="259">
        <v>3</v>
      </c>
      <c r="AG16" s="260" t="str">
        <f t="shared" si="20"/>
        <v>EB-Welle 4 mm braun</v>
      </c>
      <c r="AH16" s="261">
        <f ca="1">SUMIF(bogenpreise!$A$2:$A$22,AG16,bogenpreise!$D$2:$D$21)</f>
        <v>0.75</v>
      </c>
      <c r="AI16" s="262">
        <f t="shared" ca="1" si="2"/>
        <v>4.838169642857143E-2</v>
      </c>
      <c r="AJ16" s="150"/>
      <c r="AK16" s="256">
        <v>3</v>
      </c>
      <c r="AL16" s="257" t="str">
        <f t="shared" si="21"/>
        <v>EB-Welle 4 mm</v>
      </c>
      <c r="AM16" s="257" t="str">
        <f t="shared" si="22"/>
        <v>braun</v>
      </c>
      <c r="AN16" s="257" t="str">
        <f t="shared" si="23"/>
        <v>EB-Welle 4 mm braun</v>
      </c>
      <c r="AO16" s="257"/>
      <c r="AP16" s="258">
        <f ca="1">SUMIF(bogenpreise!$A$2:$A$22,AN16,bogenpreise!$D$2:$D$21)</f>
        <v>0.75</v>
      </c>
      <c r="AQ16" s="258">
        <f t="shared" ca="1" si="24"/>
        <v>4.838169642857143E-2</v>
      </c>
      <c r="AR16" s="259">
        <v>3</v>
      </c>
      <c r="AS16" s="260" t="str">
        <f t="shared" si="25"/>
        <v>EB-Welle 4 mm braun</v>
      </c>
      <c r="AT16" s="261">
        <f ca="1">SUMIF(bogenpreise!$A$2:$A$22,AS16,bogenpreise!$D$2:$D$21)</f>
        <v>0.75</v>
      </c>
      <c r="AU16" s="262">
        <f t="shared" ca="1" si="3"/>
        <v>4.838169642857143E-2</v>
      </c>
      <c r="AV16" s="150"/>
      <c r="AW16" s="256">
        <v>3</v>
      </c>
      <c r="AX16" s="257" t="str">
        <f t="shared" si="26"/>
        <v>EB-Welle 4 mm</v>
      </c>
      <c r="AY16" s="257" t="str">
        <f t="shared" si="27"/>
        <v>braun</v>
      </c>
      <c r="AZ16" s="257" t="str">
        <f t="shared" si="28"/>
        <v>EB-Welle 4 mm braun</v>
      </c>
      <c r="BA16" s="257"/>
      <c r="BB16" s="258">
        <f ca="1">SUMIF(bogenpreise!$A$2:$A$22,AZ16,bogenpreise!$D$2:$D$21)</f>
        <v>0.75</v>
      </c>
      <c r="BC16" s="258">
        <f t="shared" ca="1" si="29"/>
        <v>4.838169642857143E-2</v>
      </c>
      <c r="BD16" s="259">
        <v>3</v>
      </c>
      <c r="BE16" s="260" t="str">
        <f t="shared" si="30"/>
        <v>EB-Welle 4 mm braun</v>
      </c>
      <c r="BF16" s="261">
        <f ca="1">SUMIF(bogenpreise!$A$2:$A$22,BE16,bogenpreise!$D$2:$D$21)</f>
        <v>0.75</v>
      </c>
      <c r="BG16" s="262">
        <f t="shared" ca="1" si="4"/>
        <v>4.838169642857143E-2</v>
      </c>
      <c r="BH16" s="150"/>
    </row>
    <row r="17" spans="1:59" ht="17.25" customHeight="1">
      <c r="A17" s="256">
        <v>4</v>
      </c>
      <c r="B17" s="257" t="str">
        <f t="shared" si="5"/>
        <v>EB-Welle 4 mm</v>
      </c>
      <c r="C17" s="257" t="str">
        <f t="shared" si="6"/>
        <v>braun</v>
      </c>
      <c r="D17" s="257" t="str">
        <f t="shared" si="7"/>
        <v>EB-Welle 4 mm braun</v>
      </c>
      <c r="E17" s="257"/>
      <c r="F17" s="258">
        <f ca="1">SUMIF(bogenpreise!$A$2:$A$22,D17,bogenpreise!$D$2:$D$21)</f>
        <v>0.75</v>
      </c>
      <c r="G17" s="258">
        <f t="shared" ca="1" si="8"/>
        <v>4.838169642857143E-2</v>
      </c>
      <c r="H17" s="259">
        <v>4</v>
      </c>
      <c r="I17" s="260" t="str">
        <f t="shared" si="9"/>
        <v>EB-Welle 4 mm braun</v>
      </c>
      <c r="J17" s="261">
        <f ca="1">SUMIF(bogenpreise!$A$2:$A$22,I17,bogenpreise!$D$2:$D$21)</f>
        <v>0.75</v>
      </c>
      <c r="K17" s="262">
        <f t="shared" ca="1" si="10"/>
        <v>4.838169642857143E-2</v>
      </c>
      <c r="M17" s="256">
        <v>4</v>
      </c>
      <c r="N17" s="257" t="str">
        <f t="shared" si="11"/>
        <v>EB-Welle 4 mm</v>
      </c>
      <c r="O17" s="257" t="str">
        <f t="shared" si="12"/>
        <v>braun</v>
      </c>
      <c r="P17" s="257" t="str">
        <f t="shared" si="13"/>
        <v>EB-Welle 4 mm braun</v>
      </c>
      <c r="Q17" s="257"/>
      <c r="R17" s="258">
        <f ca="1">SUMIF(bogenpreise!$A$2:$A$22,P17,bogenpreise!$D$2:$D$21)</f>
        <v>0.75</v>
      </c>
      <c r="S17" s="258">
        <f t="shared" ca="1" si="14"/>
        <v>4.838169642857143E-2</v>
      </c>
      <c r="T17" s="259">
        <v>4</v>
      </c>
      <c r="U17" s="260" t="str">
        <f t="shared" si="15"/>
        <v>EB-Welle 4 mm braun</v>
      </c>
      <c r="V17" s="261">
        <f ca="1">SUMIF(bogenpreise!$A$2:$A$22,U17,bogenpreise!$D$2:$D$21)</f>
        <v>0.75</v>
      </c>
      <c r="W17" s="262">
        <f t="shared" ca="1" si="1"/>
        <v>4.838169642857143E-2</v>
      </c>
      <c r="Y17" s="256">
        <v>4</v>
      </c>
      <c r="Z17" s="257" t="str">
        <f t="shared" si="16"/>
        <v>EB-Welle 4 mm</v>
      </c>
      <c r="AA17" s="257" t="str">
        <f t="shared" si="17"/>
        <v>braun</v>
      </c>
      <c r="AB17" s="257" t="str">
        <f t="shared" si="18"/>
        <v>EB-Welle 4 mm braun</v>
      </c>
      <c r="AC17" s="257"/>
      <c r="AD17" s="258">
        <f ca="1">SUMIF(bogenpreise!$A$2:$A$22,AB17,bogenpreise!$D$2:$D$21)</f>
        <v>0.75</v>
      </c>
      <c r="AE17" s="258">
        <f t="shared" ca="1" si="19"/>
        <v>4.838169642857143E-2</v>
      </c>
      <c r="AF17" s="259">
        <v>4</v>
      </c>
      <c r="AG17" s="260" t="str">
        <f t="shared" si="20"/>
        <v>EB-Welle 4 mm braun</v>
      </c>
      <c r="AH17" s="261">
        <f ca="1">SUMIF(bogenpreise!$A$2:$A$22,AG17,bogenpreise!$D$2:$D$21)</f>
        <v>0.75</v>
      </c>
      <c r="AI17" s="262">
        <f t="shared" ca="1" si="2"/>
        <v>4.838169642857143E-2</v>
      </c>
      <c r="AK17" s="256">
        <v>4</v>
      </c>
      <c r="AL17" s="257" t="str">
        <f t="shared" si="21"/>
        <v>EB-Welle 4 mm</v>
      </c>
      <c r="AM17" s="257" t="str">
        <f t="shared" si="22"/>
        <v>braun</v>
      </c>
      <c r="AN17" s="257" t="str">
        <f t="shared" si="23"/>
        <v>EB-Welle 4 mm braun</v>
      </c>
      <c r="AO17" s="257"/>
      <c r="AP17" s="258">
        <f ca="1">SUMIF(bogenpreise!$A$2:$A$22,AN17,bogenpreise!$D$2:$D$21)</f>
        <v>0.75</v>
      </c>
      <c r="AQ17" s="258">
        <f t="shared" ca="1" si="24"/>
        <v>4.838169642857143E-2</v>
      </c>
      <c r="AR17" s="259">
        <v>4</v>
      </c>
      <c r="AS17" s="260" t="str">
        <f t="shared" si="25"/>
        <v>EB-Welle 4 mm braun</v>
      </c>
      <c r="AT17" s="261">
        <f ca="1">SUMIF(bogenpreise!$A$2:$A$22,AS17,bogenpreise!$D$2:$D$21)</f>
        <v>0.75</v>
      </c>
      <c r="AU17" s="262">
        <f t="shared" ca="1" si="3"/>
        <v>4.838169642857143E-2</v>
      </c>
      <c r="AW17" s="256">
        <v>4</v>
      </c>
      <c r="AX17" s="257" t="str">
        <f t="shared" si="26"/>
        <v>EB-Welle 4 mm</v>
      </c>
      <c r="AY17" s="257" t="str">
        <f t="shared" si="27"/>
        <v>braun</v>
      </c>
      <c r="AZ17" s="257" t="str">
        <f t="shared" si="28"/>
        <v>EB-Welle 4 mm braun</v>
      </c>
      <c r="BA17" s="257"/>
      <c r="BB17" s="258">
        <f ca="1">SUMIF(bogenpreise!$A$2:$A$22,AZ17,bogenpreise!$D$2:$D$21)</f>
        <v>0.75</v>
      </c>
      <c r="BC17" s="258">
        <f t="shared" ca="1" si="29"/>
        <v>4.838169642857143E-2</v>
      </c>
      <c r="BD17" s="259">
        <v>4</v>
      </c>
      <c r="BE17" s="260" t="str">
        <f t="shared" si="30"/>
        <v>EB-Welle 4 mm braun</v>
      </c>
      <c r="BF17" s="261">
        <f ca="1">SUMIF(bogenpreise!$A$2:$A$22,BE17,bogenpreise!$D$2:$D$21)</f>
        <v>0.75</v>
      </c>
      <c r="BG17" s="262">
        <f t="shared" ca="1" si="4"/>
        <v>4.838169642857143E-2</v>
      </c>
    </row>
    <row r="18" spans="1:59" ht="17.25" customHeight="1">
      <c r="A18" s="256">
        <v>5</v>
      </c>
      <c r="B18" s="257" t="str">
        <f t="shared" si="5"/>
        <v>EB-Welle 4 mm</v>
      </c>
      <c r="C18" s="257" t="str">
        <f t="shared" si="6"/>
        <v>braun</v>
      </c>
      <c r="D18" s="257" t="str">
        <f t="shared" si="7"/>
        <v>EB-Welle 4 mm braun</v>
      </c>
      <c r="E18" s="257"/>
      <c r="F18" s="258">
        <f ca="1">SUMIF(bogenpreise!$A$2:$A$22,D18,bogenpreise!$D$2:$D$21)</f>
        <v>0.75</v>
      </c>
      <c r="G18" s="258">
        <f t="shared" ca="1" si="8"/>
        <v>4.838169642857143E-2</v>
      </c>
      <c r="H18" s="259">
        <v>5</v>
      </c>
      <c r="I18" s="260" t="str">
        <f t="shared" si="9"/>
        <v>EB-Welle 4 mm braun</v>
      </c>
      <c r="J18" s="261">
        <f ca="1">SUMIF(bogenpreise!$A$2:$A$22,I18,bogenpreise!$D$2:$D$21)</f>
        <v>0.75</v>
      </c>
      <c r="K18" s="262">
        <f t="shared" ca="1" si="10"/>
        <v>4.838169642857143E-2</v>
      </c>
      <c r="M18" s="256">
        <v>5</v>
      </c>
      <c r="N18" s="257" t="str">
        <f t="shared" si="11"/>
        <v>EB-Welle 4 mm</v>
      </c>
      <c r="O18" s="257" t="str">
        <f t="shared" si="12"/>
        <v>braun</v>
      </c>
      <c r="P18" s="257" t="str">
        <f t="shared" si="13"/>
        <v>EB-Welle 4 mm braun</v>
      </c>
      <c r="Q18" s="257"/>
      <c r="R18" s="258">
        <f ca="1">SUMIF(bogenpreise!$A$2:$A$22,P18,bogenpreise!$D$2:$D$21)</f>
        <v>0.75</v>
      </c>
      <c r="S18" s="258">
        <f t="shared" ca="1" si="14"/>
        <v>4.838169642857143E-2</v>
      </c>
      <c r="T18" s="259">
        <v>5</v>
      </c>
      <c r="U18" s="260" t="str">
        <f t="shared" si="15"/>
        <v>EB-Welle 4 mm braun</v>
      </c>
      <c r="V18" s="261">
        <f ca="1">SUMIF(bogenpreise!$A$2:$A$22,U18,bogenpreise!$D$2:$D$21)</f>
        <v>0.75</v>
      </c>
      <c r="W18" s="262">
        <f t="shared" ca="1" si="1"/>
        <v>4.838169642857143E-2</v>
      </c>
      <c r="Y18" s="256">
        <v>5</v>
      </c>
      <c r="Z18" s="257" t="str">
        <f t="shared" si="16"/>
        <v>EB-Welle 4 mm</v>
      </c>
      <c r="AA18" s="257" t="str">
        <f t="shared" si="17"/>
        <v>braun</v>
      </c>
      <c r="AB18" s="257" t="str">
        <f t="shared" si="18"/>
        <v>EB-Welle 4 mm braun</v>
      </c>
      <c r="AC18" s="257"/>
      <c r="AD18" s="258">
        <f ca="1">SUMIF(bogenpreise!$A$2:$A$22,AB18,bogenpreise!$D$2:$D$21)</f>
        <v>0.75</v>
      </c>
      <c r="AE18" s="258">
        <f t="shared" ca="1" si="19"/>
        <v>4.838169642857143E-2</v>
      </c>
      <c r="AF18" s="259">
        <v>5</v>
      </c>
      <c r="AG18" s="260" t="str">
        <f t="shared" si="20"/>
        <v>EB-Welle 4 mm braun</v>
      </c>
      <c r="AH18" s="261">
        <f ca="1">SUMIF(bogenpreise!$A$2:$A$22,AG18,bogenpreise!$D$2:$D$21)</f>
        <v>0.75</v>
      </c>
      <c r="AI18" s="262">
        <f t="shared" ca="1" si="2"/>
        <v>4.838169642857143E-2</v>
      </c>
      <c r="AK18" s="256">
        <v>5</v>
      </c>
      <c r="AL18" s="257" t="str">
        <f t="shared" si="21"/>
        <v>EB-Welle 4 mm</v>
      </c>
      <c r="AM18" s="257" t="str">
        <f t="shared" si="22"/>
        <v>braun</v>
      </c>
      <c r="AN18" s="257" t="str">
        <f t="shared" si="23"/>
        <v>EB-Welle 4 mm braun</v>
      </c>
      <c r="AO18" s="257"/>
      <c r="AP18" s="258">
        <f ca="1">SUMIF(bogenpreise!$A$2:$A$22,AN18,bogenpreise!$D$2:$D$21)</f>
        <v>0.75</v>
      </c>
      <c r="AQ18" s="258">
        <f t="shared" ca="1" si="24"/>
        <v>4.838169642857143E-2</v>
      </c>
      <c r="AR18" s="259">
        <v>5</v>
      </c>
      <c r="AS18" s="260" t="str">
        <f t="shared" si="25"/>
        <v>EB-Welle 4 mm braun</v>
      </c>
      <c r="AT18" s="261">
        <f ca="1">SUMIF(bogenpreise!$A$2:$A$22,AS18,bogenpreise!$D$2:$D$21)</f>
        <v>0.75</v>
      </c>
      <c r="AU18" s="262">
        <f t="shared" ca="1" si="3"/>
        <v>4.838169642857143E-2</v>
      </c>
      <c r="AW18" s="256">
        <v>5</v>
      </c>
      <c r="AX18" s="257" t="str">
        <f t="shared" si="26"/>
        <v>EB-Welle 4 mm</v>
      </c>
      <c r="AY18" s="257" t="str">
        <f t="shared" si="27"/>
        <v>braun</v>
      </c>
      <c r="AZ18" s="257" t="str">
        <f t="shared" si="28"/>
        <v>EB-Welle 4 mm braun</v>
      </c>
      <c r="BA18" s="257"/>
      <c r="BB18" s="258">
        <f ca="1">SUMIF(bogenpreise!$A$2:$A$22,AZ18,bogenpreise!$D$2:$D$21)</f>
        <v>0.75</v>
      </c>
      <c r="BC18" s="258">
        <f t="shared" ca="1" si="29"/>
        <v>4.838169642857143E-2</v>
      </c>
      <c r="BD18" s="259">
        <v>5</v>
      </c>
      <c r="BE18" s="260" t="str">
        <f t="shared" si="30"/>
        <v>EB-Welle 4 mm braun</v>
      </c>
      <c r="BF18" s="261">
        <f ca="1">SUMIF(bogenpreise!$A$2:$A$22,BE18,bogenpreise!$D$2:$D$21)</f>
        <v>0.75</v>
      </c>
      <c r="BG18" s="262">
        <f t="shared" ca="1" si="4"/>
        <v>4.838169642857143E-2</v>
      </c>
    </row>
    <row r="19" spans="1:59" ht="17.25" customHeight="1">
      <c r="A19" s="256">
        <v>6</v>
      </c>
      <c r="B19" s="257">
        <f t="shared" si="5"/>
        <v>0</v>
      </c>
      <c r="C19" s="257">
        <f t="shared" si="6"/>
        <v>0</v>
      </c>
      <c r="D19" s="257" t="str">
        <f t="shared" si="7"/>
        <v>0 0</v>
      </c>
      <c r="E19" s="257"/>
      <c r="F19" s="258">
        <f ca="1">SUMIF(bogenpreise!$A$2:$A$22,D19,bogenpreise!$D$2:$D$21)</f>
        <v>0</v>
      </c>
      <c r="G19" s="258">
        <f t="shared" ca="1" si="8"/>
        <v>0</v>
      </c>
      <c r="H19" s="259">
        <v>6</v>
      </c>
      <c r="I19" s="260" t="str">
        <f t="shared" si="9"/>
        <v>0 0</v>
      </c>
      <c r="J19" s="261">
        <f ca="1">SUMIF(bogenpreise!$A$2:$A$22,I19,bogenpreise!$D$2:$D$21)</f>
        <v>0</v>
      </c>
      <c r="K19" s="262">
        <f t="shared" ca="1" si="10"/>
        <v>0</v>
      </c>
      <c r="M19" s="256">
        <v>6</v>
      </c>
      <c r="N19" s="257">
        <f t="shared" si="11"/>
        <v>0</v>
      </c>
      <c r="O19" s="257">
        <f t="shared" si="12"/>
        <v>0</v>
      </c>
      <c r="P19" s="257" t="str">
        <f t="shared" si="13"/>
        <v>0 0</v>
      </c>
      <c r="Q19" s="257"/>
      <c r="R19" s="258">
        <f ca="1">SUMIF(bogenpreise!$A$2:$A$22,P19,bogenpreise!$D$2:$D$21)</f>
        <v>0</v>
      </c>
      <c r="S19" s="258">
        <f t="shared" ca="1" si="14"/>
        <v>0</v>
      </c>
      <c r="T19" s="259">
        <v>6</v>
      </c>
      <c r="U19" s="260" t="str">
        <f t="shared" si="15"/>
        <v>0 0</v>
      </c>
      <c r="V19" s="261">
        <f ca="1">SUMIF(bogenpreise!$A$2:$A$22,U19,bogenpreise!$D$2:$D$21)</f>
        <v>0</v>
      </c>
      <c r="W19" s="262">
        <f t="shared" ca="1" si="1"/>
        <v>0</v>
      </c>
      <c r="Y19" s="256">
        <v>6</v>
      </c>
      <c r="Z19" s="257">
        <f t="shared" si="16"/>
        <v>0</v>
      </c>
      <c r="AA19" s="257">
        <f t="shared" si="17"/>
        <v>0</v>
      </c>
      <c r="AB19" s="257" t="str">
        <f t="shared" si="18"/>
        <v>0 0</v>
      </c>
      <c r="AC19" s="257"/>
      <c r="AD19" s="258">
        <f ca="1">SUMIF(bogenpreise!$A$2:$A$22,AB19,bogenpreise!$D$2:$D$21)</f>
        <v>0</v>
      </c>
      <c r="AE19" s="258">
        <f t="shared" ca="1" si="19"/>
        <v>0</v>
      </c>
      <c r="AF19" s="259">
        <v>6</v>
      </c>
      <c r="AG19" s="260" t="str">
        <f t="shared" si="20"/>
        <v>0 0</v>
      </c>
      <c r="AH19" s="261">
        <f ca="1">SUMIF(bogenpreise!$A$2:$A$22,AG19,bogenpreise!$D$2:$D$21)</f>
        <v>0</v>
      </c>
      <c r="AI19" s="262">
        <f t="shared" ca="1" si="2"/>
        <v>0</v>
      </c>
      <c r="AK19" s="256">
        <v>6</v>
      </c>
      <c r="AL19" s="257">
        <f t="shared" si="21"/>
        <v>0</v>
      </c>
      <c r="AM19" s="257">
        <f t="shared" si="22"/>
        <v>0</v>
      </c>
      <c r="AN19" s="257" t="str">
        <f t="shared" si="23"/>
        <v>0 0</v>
      </c>
      <c r="AO19" s="257"/>
      <c r="AP19" s="258">
        <f ca="1">SUMIF(bogenpreise!$A$2:$A$22,AN19,bogenpreise!$D$2:$D$21)</f>
        <v>0</v>
      </c>
      <c r="AQ19" s="258">
        <f t="shared" ca="1" si="24"/>
        <v>0</v>
      </c>
      <c r="AR19" s="259">
        <v>6</v>
      </c>
      <c r="AS19" s="260" t="str">
        <f t="shared" si="25"/>
        <v>0 0</v>
      </c>
      <c r="AT19" s="261">
        <f ca="1">SUMIF(bogenpreise!$A$2:$A$22,AS19,bogenpreise!$D$2:$D$21)</f>
        <v>0</v>
      </c>
      <c r="AU19" s="262">
        <f t="shared" ca="1" si="3"/>
        <v>0</v>
      </c>
      <c r="AW19" s="256">
        <v>6</v>
      </c>
      <c r="AX19" s="257">
        <f t="shared" si="26"/>
        <v>0</v>
      </c>
      <c r="AY19" s="257">
        <f t="shared" si="27"/>
        <v>0</v>
      </c>
      <c r="AZ19" s="257" t="str">
        <f t="shared" si="28"/>
        <v>0 0</v>
      </c>
      <c r="BA19" s="257"/>
      <c r="BB19" s="258">
        <f ca="1">SUMIF(bogenpreise!$A$2:$A$22,AZ19,bogenpreise!$D$2:$D$21)</f>
        <v>0</v>
      </c>
      <c r="BC19" s="258">
        <f t="shared" ca="1" si="29"/>
        <v>0</v>
      </c>
      <c r="BD19" s="259">
        <v>6</v>
      </c>
      <c r="BE19" s="260" t="str">
        <f t="shared" si="30"/>
        <v>0 0</v>
      </c>
      <c r="BF19" s="261">
        <f ca="1">SUMIF(bogenpreise!$A$2:$A$22,BE19,bogenpreise!$D$2:$D$21)</f>
        <v>0</v>
      </c>
      <c r="BG19" s="262">
        <f t="shared" ca="1" si="4"/>
        <v>0</v>
      </c>
    </row>
    <row r="20" spans="1:59" ht="17.25" customHeight="1">
      <c r="A20" s="256">
        <v>7</v>
      </c>
      <c r="B20" s="257">
        <f t="shared" si="5"/>
        <v>0</v>
      </c>
      <c r="C20" s="257">
        <f t="shared" si="6"/>
        <v>0</v>
      </c>
      <c r="D20" s="257" t="str">
        <f t="shared" si="7"/>
        <v>0 0</v>
      </c>
      <c r="E20" s="257"/>
      <c r="F20" s="258">
        <f ca="1">SUMIF(bogenpreise!$A$2:$A$22,D20,bogenpreise!$D$2:$D$21)</f>
        <v>0</v>
      </c>
      <c r="G20" s="258">
        <f t="shared" ca="1" si="8"/>
        <v>0</v>
      </c>
      <c r="H20" s="259">
        <v>7</v>
      </c>
      <c r="I20" s="260" t="str">
        <f t="shared" si="9"/>
        <v>0 0</v>
      </c>
      <c r="J20" s="261">
        <f ca="1">SUMIF(bogenpreise!$A$2:$A$22,I20,bogenpreise!$D$2:$D$21)</f>
        <v>0</v>
      </c>
      <c r="K20" s="262">
        <f t="shared" ca="1" si="10"/>
        <v>0</v>
      </c>
      <c r="M20" s="256">
        <v>7</v>
      </c>
      <c r="N20" s="257">
        <f t="shared" si="11"/>
        <v>0</v>
      </c>
      <c r="O20" s="257">
        <f t="shared" si="12"/>
        <v>0</v>
      </c>
      <c r="P20" s="257" t="str">
        <f t="shared" si="13"/>
        <v>0 0</v>
      </c>
      <c r="Q20" s="257"/>
      <c r="R20" s="258">
        <f ca="1">SUMIF(bogenpreise!$A$2:$A$22,P20,bogenpreise!$D$2:$D$21)</f>
        <v>0</v>
      </c>
      <c r="S20" s="258">
        <f t="shared" ca="1" si="14"/>
        <v>0</v>
      </c>
      <c r="T20" s="259">
        <v>7</v>
      </c>
      <c r="U20" s="260" t="str">
        <f t="shared" si="15"/>
        <v>0 0</v>
      </c>
      <c r="V20" s="261">
        <f ca="1">SUMIF(bogenpreise!$A$2:$A$22,U20,bogenpreise!$D$2:$D$21)</f>
        <v>0</v>
      </c>
      <c r="W20" s="262">
        <f t="shared" ca="1" si="1"/>
        <v>0</v>
      </c>
      <c r="Y20" s="256">
        <v>7</v>
      </c>
      <c r="Z20" s="257">
        <f t="shared" si="16"/>
        <v>0</v>
      </c>
      <c r="AA20" s="257">
        <f t="shared" si="17"/>
        <v>0</v>
      </c>
      <c r="AB20" s="257" t="str">
        <f t="shared" si="18"/>
        <v>0 0</v>
      </c>
      <c r="AC20" s="257"/>
      <c r="AD20" s="258">
        <f ca="1">SUMIF(bogenpreise!$A$2:$A$22,AB20,bogenpreise!$D$2:$D$21)</f>
        <v>0</v>
      </c>
      <c r="AE20" s="258">
        <f t="shared" ca="1" si="19"/>
        <v>0</v>
      </c>
      <c r="AF20" s="259">
        <v>7</v>
      </c>
      <c r="AG20" s="260" t="str">
        <f t="shared" si="20"/>
        <v>0 0</v>
      </c>
      <c r="AH20" s="261">
        <f ca="1">SUMIF(bogenpreise!$A$2:$A$22,AG20,bogenpreise!$D$2:$D$21)</f>
        <v>0</v>
      </c>
      <c r="AI20" s="262">
        <f t="shared" ca="1" si="2"/>
        <v>0</v>
      </c>
      <c r="AK20" s="256">
        <v>7</v>
      </c>
      <c r="AL20" s="257">
        <f t="shared" si="21"/>
        <v>0</v>
      </c>
      <c r="AM20" s="257">
        <f t="shared" si="22"/>
        <v>0</v>
      </c>
      <c r="AN20" s="257" t="str">
        <f t="shared" si="23"/>
        <v>0 0</v>
      </c>
      <c r="AO20" s="257"/>
      <c r="AP20" s="258">
        <f ca="1">SUMIF(bogenpreise!$A$2:$A$22,AN20,bogenpreise!$D$2:$D$21)</f>
        <v>0</v>
      </c>
      <c r="AQ20" s="258">
        <f t="shared" ca="1" si="24"/>
        <v>0</v>
      </c>
      <c r="AR20" s="259">
        <v>7</v>
      </c>
      <c r="AS20" s="260" t="str">
        <f t="shared" si="25"/>
        <v>0 0</v>
      </c>
      <c r="AT20" s="261">
        <f ca="1">SUMIF(bogenpreise!$A$2:$A$22,AS20,bogenpreise!$D$2:$D$21)</f>
        <v>0</v>
      </c>
      <c r="AU20" s="262">
        <f t="shared" ca="1" si="3"/>
        <v>0</v>
      </c>
      <c r="AW20" s="256">
        <v>7</v>
      </c>
      <c r="AX20" s="257">
        <f t="shared" si="26"/>
        <v>0</v>
      </c>
      <c r="AY20" s="257">
        <f t="shared" si="27"/>
        <v>0</v>
      </c>
      <c r="AZ20" s="257" t="str">
        <f t="shared" si="28"/>
        <v>0 0</v>
      </c>
      <c r="BA20" s="257"/>
      <c r="BB20" s="258">
        <f ca="1">SUMIF(bogenpreise!$A$2:$A$22,AZ20,bogenpreise!$D$2:$D$21)</f>
        <v>0</v>
      </c>
      <c r="BC20" s="258">
        <f t="shared" ca="1" si="29"/>
        <v>0</v>
      </c>
      <c r="BD20" s="259">
        <v>7</v>
      </c>
      <c r="BE20" s="260" t="str">
        <f t="shared" si="30"/>
        <v>0 0</v>
      </c>
      <c r="BF20" s="261">
        <f ca="1">SUMIF(bogenpreise!$A$2:$A$22,BE20,bogenpreise!$D$2:$D$21)</f>
        <v>0</v>
      </c>
      <c r="BG20" s="262">
        <f t="shared" ca="1" si="4"/>
        <v>0</v>
      </c>
    </row>
    <row r="21" spans="1:59" ht="17.25" customHeight="1">
      <c r="A21" s="256">
        <v>8</v>
      </c>
      <c r="B21" s="257">
        <f t="shared" si="5"/>
        <v>0</v>
      </c>
      <c r="C21" s="257">
        <f t="shared" si="6"/>
        <v>0</v>
      </c>
      <c r="D21" s="257" t="str">
        <f t="shared" si="7"/>
        <v>0 0</v>
      </c>
      <c r="E21" s="257"/>
      <c r="F21" s="258">
        <f ca="1">SUMIF(bogenpreise!$A$2:$A$22,D21,bogenpreise!$D$2:$D$21)</f>
        <v>0</v>
      </c>
      <c r="G21" s="258">
        <f t="shared" ca="1" si="8"/>
        <v>0</v>
      </c>
      <c r="H21" s="259">
        <v>8</v>
      </c>
      <c r="I21" s="260" t="str">
        <f t="shared" si="9"/>
        <v>0 0</v>
      </c>
      <c r="J21" s="261">
        <f ca="1">SUMIF(bogenpreise!$A$2:$A$22,I21,bogenpreise!$D$2:$D$21)</f>
        <v>0</v>
      </c>
      <c r="K21" s="262">
        <f t="shared" ca="1" si="10"/>
        <v>0</v>
      </c>
      <c r="M21" s="256">
        <v>8</v>
      </c>
      <c r="N21" s="257">
        <f t="shared" si="11"/>
        <v>0</v>
      </c>
      <c r="O21" s="257">
        <f t="shared" si="12"/>
        <v>0</v>
      </c>
      <c r="P21" s="257" t="str">
        <f t="shared" si="13"/>
        <v>0 0</v>
      </c>
      <c r="Q21" s="257"/>
      <c r="R21" s="258">
        <f ca="1">SUMIF(bogenpreise!$A$2:$A$22,P21,bogenpreise!$D$2:$D$21)</f>
        <v>0</v>
      </c>
      <c r="S21" s="258">
        <f t="shared" ca="1" si="14"/>
        <v>0</v>
      </c>
      <c r="T21" s="259">
        <v>8</v>
      </c>
      <c r="U21" s="260" t="str">
        <f t="shared" si="15"/>
        <v>0 0</v>
      </c>
      <c r="V21" s="261">
        <f ca="1">SUMIF(bogenpreise!$A$2:$A$22,U21,bogenpreise!$D$2:$D$21)</f>
        <v>0</v>
      </c>
      <c r="W21" s="262">
        <f t="shared" ca="1" si="1"/>
        <v>0</v>
      </c>
      <c r="Y21" s="256">
        <v>8</v>
      </c>
      <c r="Z21" s="257">
        <f t="shared" si="16"/>
        <v>0</v>
      </c>
      <c r="AA21" s="257">
        <f t="shared" si="17"/>
        <v>0</v>
      </c>
      <c r="AB21" s="257" t="str">
        <f t="shared" si="18"/>
        <v>0 0</v>
      </c>
      <c r="AC21" s="257"/>
      <c r="AD21" s="258">
        <f ca="1">SUMIF(bogenpreise!$A$2:$A$22,AB21,bogenpreise!$D$2:$D$21)</f>
        <v>0</v>
      </c>
      <c r="AE21" s="258">
        <f t="shared" ca="1" si="19"/>
        <v>0</v>
      </c>
      <c r="AF21" s="259">
        <v>8</v>
      </c>
      <c r="AG21" s="260" t="str">
        <f t="shared" si="20"/>
        <v>0 0</v>
      </c>
      <c r="AH21" s="261">
        <f ca="1">SUMIF(bogenpreise!$A$2:$A$22,AG21,bogenpreise!$D$2:$D$21)</f>
        <v>0</v>
      </c>
      <c r="AI21" s="262">
        <f t="shared" ca="1" si="2"/>
        <v>0</v>
      </c>
      <c r="AK21" s="256">
        <v>8</v>
      </c>
      <c r="AL21" s="257">
        <f t="shared" si="21"/>
        <v>0</v>
      </c>
      <c r="AM21" s="257">
        <f t="shared" si="22"/>
        <v>0</v>
      </c>
      <c r="AN21" s="257" t="str">
        <f t="shared" si="23"/>
        <v>0 0</v>
      </c>
      <c r="AO21" s="257"/>
      <c r="AP21" s="258">
        <f ca="1">SUMIF(bogenpreise!$A$2:$A$22,AN21,bogenpreise!$D$2:$D$21)</f>
        <v>0</v>
      </c>
      <c r="AQ21" s="258">
        <f t="shared" ca="1" si="24"/>
        <v>0</v>
      </c>
      <c r="AR21" s="259">
        <v>8</v>
      </c>
      <c r="AS21" s="260" t="str">
        <f t="shared" si="25"/>
        <v>0 0</v>
      </c>
      <c r="AT21" s="261">
        <f ca="1">SUMIF(bogenpreise!$A$2:$A$22,AS21,bogenpreise!$D$2:$D$21)</f>
        <v>0</v>
      </c>
      <c r="AU21" s="262">
        <f t="shared" ca="1" si="3"/>
        <v>0</v>
      </c>
      <c r="AW21" s="256">
        <v>8</v>
      </c>
      <c r="AX21" s="257">
        <f t="shared" si="26"/>
        <v>0</v>
      </c>
      <c r="AY21" s="257">
        <f t="shared" si="27"/>
        <v>0</v>
      </c>
      <c r="AZ21" s="257" t="str">
        <f t="shared" si="28"/>
        <v>0 0</v>
      </c>
      <c r="BA21" s="257"/>
      <c r="BB21" s="258">
        <f ca="1">SUMIF(bogenpreise!$A$2:$A$22,AZ21,bogenpreise!$D$2:$D$21)</f>
        <v>0</v>
      </c>
      <c r="BC21" s="258">
        <f t="shared" ca="1" si="29"/>
        <v>0</v>
      </c>
      <c r="BD21" s="259">
        <v>8</v>
      </c>
      <c r="BE21" s="260" t="str">
        <f t="shared" si="30"/>
        <v>0 0</v>
      </c>
      <c r="BF21" s="261">
        <f ca="1">SUMIF(bogenpreise!$A$2:$A$22,BE21,bogenpreise!$D$2:$D$21)</f>
        <v>0</v>
      </c>
      <c r="BG21" s="262">
        <f t="shared" ca="1" si="4"/>
        <v>0</v>
      </c>
    </row>
    <row r="22" spans="1:59" ht="17.25" customHeight="1">
      <c r="A22" s="256">
        <v>9</v>
      </c>
      <c r="B22" s="257">
        <f t="shared" si="5"/>
        <v>0</v>
      </c>
      <c r="C22" s="257">
        <f t="shared" si="6"/>
        <v>0</v>
      </c>
      <c r="D22" s="257" t="str">
        <f t="shared" si="7"/>
        <v>0 0</v>
      </c>
      <c r="E22" s="257"/>
      <c r="F22" s="258">
        <f ca="1">SUMIF(bogenpreise!$A$2:$A$22,D22,bogenpreise!$D$2:$D$21)</f>
        <v>0</v>
      </c>
      <c r="G22" s="258">
        <f t="shared" ca="1" si="8"/>
        <v>0</v>
      </c>
      <c r="H22" s="259">
        <v>9</v>
      </c>
      <c r="I22" s="260" t="str">
        <f t="shared" si="9"/>
        <v>0 0</v>
      </c>
      <c r="J22" s="261">
        <f ca="1">SUMIF(bogenpreise!$A$2:$A$22,I22,bogenpreise!$D$2:$D$21)</f>
        <v>0</v>
      </c>
      <c r="K22" s="262">
        <f t="shared" ca="1" si="10"/>
        <v>0</v>
      </c>
      <c r="M22" s="256">
        <v>9</v>
      </c>
      <c r="N22" s="257">
        <f t="shared" si="11"/>
        <v>0</v>
      </c>
      <c r="O22" s="257">
        <f t="shared" si="12"/>
        <v>0</v>
      </c>
      <c r="P22" s="257" t="str">
        <f t="shared" si="13"/>
        <v>0 0</v>
      </c>
      <c r="Q22" s="257"/>
      <c r="R22" s="258">
        <f ca="1">SUMIF(bogenpreise!$A$2:$A$22,P22,bogenpreise!$D$2:$D$21)</f>
        <v>0</v>
      </c>
      <c r="S22" s="258">
        <f t="shared" ca="1" si="14"/>
        <v>0</v>
      </c>
      <c r="T22" s="259">
        <v>9</v>
      </c>
      <c r="U22" s="260" t="str">
        <f t="shared" si="15"/>
        <v>0 0</v>
      </c>
      <c r="V22" s="261">
        <f ca="1">SUMIF(bogenpreise!$A$2:$A$22,U22,bogenpreise!$D$2:$D$21)</f>
        <v>0</v>
      </c>
      <c r="W22" s="262">
        <f t="shared" ca="1" si="1"/>
        <v>0</v>
      </c>
      <c r="Y22" s="256">
        <v>9</v>
      </c>
      <c r="Z22" s="257">
        <f t="shared" si="16"/>
        <v>0</v>
      </c>
      <c r="AA22" s="257">
        <f t="shared" si="17"/>
        <v>0</v>
      </c>
      <c r="AB22" s="257" t="str">
        <f t="shared" si="18"/>
        <v>0 0</v>
      </c>
      <c r="AC22" s="257"/>
      <c r="AD22" s="258">
        <f ca="1">SUMIF(bogenpreise!$A$2:$A$22,AB22,bogenpreise!$D$2:$D$21)</f>
        <v>0</v>
      </c>
      <c r="AE22" s="258">
        <f t="shared" ca="1" si="19"/>
        <v>0</v>
      </c>
      <c r="AF22" s="259">
        <v>9</v>
      </c>
      <c r="AG22" s="260" t="str">
        <f t="shared" si="20"/>
        <v>0 0</v>
      </c>
      <c r="AH22" s="261">
        <f ca="1">SUMIF(bogenpreise!$A$2:$A$22,AG22,bogenpreise!$D$2:$D$21)</f>
        <v>0</v>
      </c>
      <c r="AI22" s="262">
        <f t="shared" ca="1" si="2"/>
        <v>0</v>
      </c>
      <c r="AK22" s="256">
        <v>9</v>
      </c>
      <c r="AL22" s="257">
        <f t="shared" si="21"/>
        <v>0</v>
      </c>
      <c r="AM22" s="257">
        <f t="shared" si="22"/>
        <v>0</v>
      </c>
      <c r="AN22" s="257" t="str">
        <f t="shared" si="23"/>
        <v>0 0</v>
      </c>
      <c r="AO22" s="257"/>
      <c r="AP22" s="258">
        <f ca="1">SUMIF(bogenpreise!$A$2:$A$22,AN22,bogenpreise!$D$2:$D$21)</f>
        <v>0</v>
      </c>
      <c r="AQ22" s="258">
        <f t="shared" ca="1" si="24"/>
        <v>0</v>
      </c>
      <c r="AR22" s="259">
        <v>9</v>
      </c>
      <c r="AS22" s="260" t="str">
        <f t="shared" si="25"/>
        <v>0 0</v>
      </c>
      <c r="AT22" s="261">
        <f ca="1">SUMIF(bogenpreise!$A$2:$A$22,AS22,bogenpreise!$D$2:$D$21)</f>
        <v>0</v>
      </c>
      <c r="AU22" s="262">
        <f t="shared" ca="1" si="3"/>
        <v>0</v>
      </c>
      <c r="AW22" s="256">
        <v>9</v>
      </c>
      <c r="AX22" s="257">
        <f t="shared" si="26"/>
        <v>0</v>
      </c>
      <c r="AY22" s="257">
        <f t="shared" si="27"/>
        <v>0</v>
      </c>
      <c r="AZ22" s="257" t="str">
        <f t="shared" si="28"/>
        <v>0 0</v>
      </c>
      <c r="BA22" s="257"/>
      <c r="BB22" s="258">
        <f ca="1">SUMIF(bogenpreise!$A$2:$A$22,AZ22,bogenpreise!$D$2:$D$21)</f>
        <v>0</v>
      </c>
      <c r="BC22" s="258">
        <f t="shared" ca="1" si="29"/>
        <v>0</v>
      </c>
      <c r="BD22" s="259">
        <v>9</v>
      </c>
      <c r="BE22" s="260" t="str">
        <f t="shared" si="30"/>
        <v>0 0</v>
      </c>
      <c r="BF22" s="261">
        <f ca="1">SUMIF(bogenpreise!$A$2:$A$22,BE22,bogenpreise!$D$2:$D$21)</f>
        <v>0</v>
      </c>
      <c r="BG22" s="262">
        <f t="shared" ca="1" si="4"/>
        <v>0</v>
      </c>
    </row>
    <row r="23" spans="1:59" ht="17.25" customHeight="1">
      <c r="A23" s="256">
        <v>10</v>
      </c>
      <c r="B23" s="257">
        <f t="shared" si="5"/>
        <v>0</v>
      </c>
      <c r="C23" s="257">
        <f t="shared" si="6"/>
        <v>0</v>
      </c>
      <c r="D23" s="257" t="str">
        <f t="shared" si="7"/>
        <v>0 0</v>
      </c>
      <c r="E23" s="257"/>
      <c r="F23" s="258">
        <f ca="1">SUMIF(bogenpreise!$A$2:$A$22,D23,bogenpreise!$D$2:$D$21)</f>
        <v>0</v>
      </c>
      <c r="G23" s="258">
        <f t="shared" ca="1" si="8"/>
        <v>0</v>
      </c>
      <c r="H23" s="259">
        <v>10</v>
      </c>
      <c r="I23" s="260" t="str">
        <f t="shared" si="9"/>
        <v>0 0</v>
      </c>
      <c r="J23" s="261">
        <f ca="1">SUMIF(bogenpreise!$A$2:$A$22,I23,bogenpreise!$D$2:$D$21)</f>
        <v>0</v>
      </c>
      <c r="K23" s="262">
        <f t="shared" ca="1" si="10"/>
        <v>0</v>
      </c>
      <c r="M23" s="256">
        <v>10</v>
      </c>
      <c r="N23" s="257">
        <f t="shared" si="11"/>
        <v>0</v>
      </c>
      <c r="O23" s="257">
        <f t="shared" si="12"/>
        <v>0</v>
      </c>
      <c r="P23" s="257" t="str">
        <f t="shared" si="13"/>
        <v>0 0</v>
      </c>
      <c r="Q23" s="257"/>
      <c r="R23" s="258">
        <f ca="1">SUMIF(bogenpreise!$A$2:$A$22,P23,bogenpreise!$D$2:$D$21)</f>
        <v>0</v>
      </c>
      <c r="S23" s="258">
        <f t="shared" ca="1" si="14"/>
        <v>0</v>
      </c>
      <c r="T23" s="259">
        <v>10</v>
      </c>
      <c r="U23" s="260" t="str">
        <f t="shared" si="15"/>
        <v>0 0</v>
      </c>
      <c r="V23" s="261">
        <f ca="1">SUMIF(bogenpreise!$A$2:$A$22,U23,bogenpreise!$D$2:$D$21)</f>
        <v>0</v>
      </c>
      <c r="W23" s="262">
        <f t="shared" ca="1" si="1"/>
        <v>0</v>
      </c>
      <c r="Y23" s="256">
        <v>10</v>
      </c>
      <c r="Z23" s="257">
        <f t="shared" si="16"/>
        <v>0</v>
      </c>
      <c r="AA23" s="257">
        <f t="shared" si="17"/>
        <v>0</v>
      </c>
      <c r="AB23" s="257" t="str">
        <f t="shared" si="18"/>
        <v>0 0</v>
      </c>
      <c r="AC23" s="257"/>
      <c r="AD23" s="258">
        <f ca="1">SUMIF(bogenpreise!$A$2:$A$22,AB23,bogenpreise!$D$2:$D$21)</f>
        <v>0</v>
      </c>
      <c r="AE23" s="258">
        <f t="shared" ca="1" si="19"/>
        <v>0</v>
      </c>
      <c r="AF23" s="259">
        <v>10</v>
      </c>
      <c r="AG23" s="260" t="str">
        <f t="shared" si="20"/>
        <v>0 0</v>
      </c>
      <c r="AH23" s="261">
        <f ca="1">SUMIF(bogenpreise!$A$2:$A$22,AG23,bogenpreise!$D$2:$D$21)</f>
        <v>0</v>
      </c>
      <c r="AI23" s="262">
        <f t="shared" ca="1" si="2"/>
        <v>0</v>
      </c>
      <c r="AK23" s="256">
        <v>10</v>
      </c>
      <c r="AL23" s="257">
        <f t="shared" si="21"/>
        <v>0</v>
      </c>
      <c r="AM23" s="257">
        <f t="shared" si="22"/>
        <v>0</v>
      </c>
      <c r="AN23" s="257" t="str">
        <f t="shared" si="23"/>
        <v>0 0</v>
      </c>
      <c r="AO23" s="257"/>
      <c r="AP23" s="258">
        <f ca="1">SUMIF(bogenpreise!$A$2:$A$22,AN23,bogenpreise!$D$2:$D$21)</f>
        <v>0</v>
      </c>
      <c r="AQ23" s="258">
        <f t="shared" ca="1" si="24"/>
        <v>0</v>
      </c>
      <c r="AR23" s="259">
        <v>10</v>
      </c>
      <c r="AS23" s="260" t="str">
        <f t="shared" si="25"/>
        <v>0 0</v>
      </c>
      <c r="AT23" s="261">
        <f ca="1">SUMIF(bogenpreise!$A$2:$A$22,AS23,bogenpreise!$D$2:$D$21)</f>
        <v>0</v>
      </c>
      <c r="AU23" s="262">
        <f t="shared" ca="1" si="3"/>
        <v>0</v>
      </c>
      <c r="AW23" s="256">
        <v>10</v>
      </c>
      <c r="AX23" s="257">
        <f t="shared" si="26"/>
        <v>0</v>
      </c>
      <c r="AY23" s="257">
        <f t="shared" si="27"/>
        <v>0</v>
      </c>
      <c r="AZ23" s="257" t="str">
        <f t="shared" si="28"/>
        <v>0 0</v>
      </c>
      <c r="BA23" s="257"/>
      <c r="BB23" s="258">
        <f ca="1">SUMIF(bogenpreise!$A$2:$A$22,AZ23,bogenpreise!$D$2:$D$21)</f>
        <v>0</v>
      </c>
      <c r="BC23" s="258">
        <f t="shared" ca="1" si="29"/>
        <v>0</v>
      </c>
      <c r="BD23" s="259">
        <v>10</v>
      </c>
      <c r="BE23" s="260" t="str">
        <f t="shared" si="30"/>
        <v>0 0</v>
      </c>
      <c r="BF23" s="261">
        <f ca="1">SUMIF(bogenpreise!$A$2:$A$22,BE23,bogenpreise!$D$2:$D$21)</f>
        <v>0</v>
      </c>
      <c r="BG23" s="262">
        <f t="shared" ca="1" si="4"/>
        <v>0</v>
      </c>
    </row>
    <row r="24" spans="1:59" ht="17.25" customHeight="1">
      <c r="A24" s="256">
        <v>11</v>
      </c>
      <c r="B24" s="257">
        <f t="shared" si="5"/>
        <v>0</v>
      </c>
      <c r="C24" s="257">
        <f t="shared" si="6"/>
        <v>0</v>
      </c>
      <c r="D24" s="257" t="str">
        <f t="shared" si="7"/>
        <v>0 0</v>
      </c>
      <c r="E24" s="257"/>
      <c r="F24" s="258">
        <f ca="1">SUMIF(bogenpreise!$A$2:$A$22,D24,bogenpreise!$D$2:$D$21)</f>
        <v>0</v>
      </c>
      <c r="G24" s="258">
        <f t="shared" ca="1" si="8"/>
        <v>0</v>
      </c>
      <c r="H24" s="259">
        <v>11</v>
      </c>
      <c r="I24" s="260" t="str">
        <f t="shared" si="9"/>
        <v>0 0</v>
      </c>
      <c r="J24" s="261">
        <f ca="1">SUMIF(bogenpreise!$A$2:$A$22,I24,bogenpreise!$D$2:$D$21)</f>
        <v>0</v>
      </c>
      <c r="K24" s="262">
        <f t="shared" ca="1" si="10"/>
        <v>0</v>
      </c>
      <c r="M24" s="256">
        <v>11</v>
      </c>
      <c r="N24" s="257">
        <f t="shared" si="11"/>
        <v>0</v>
      </c>
      <c r="O24" s="257">
        <f t="shared" si="12"/>
        <v>0</v>
      </c>
      <c r="P24" s="257" t="str">
        <f t="shared" si="13"/>
        <v>0 0</v>
      </c>
      <c r="Q24" s="257"/>
      <c r="R24" s="258">
        <f ca="1">SUMIF(bogenpreise!$A$2:$A$22,P24,bogenpreise!$D$2:$D$21)</f>
        <v>0</v>
      </c>
      <c r="S24" s="258">
        <f t="shared" ca="1" si="14"/>
        <v>0</v>
      </c>
      <c r="T24" s="259">
        <v>11</v>
      </c>
      <c r="U24" s="260" t="str">
        <f t="shared" si="15"/>
        <v>0 0</v>
      </c>
      <c r="V24" s="261">
        <f ca="1">SUMIF(bogenpreise!$A$2:$A$22,U24,bogenpreise!$D$2:$D$21)</f>
        <v>0</v>
      </c>
      <c r="W24" s="262">
        <f t="shared" ca="1" si="1"/>
        <v>0</v>
      </c>
      <c r="Y24" s="256">
        <v>11</v>
      </c>
      <c r="Z24" s="257">
        <f t="shared" si="16"/>
        <v>0</v>
      </c>
      <c r="AA24" s="257">
        <f t="shared" si="17"/>
        <v>0</v>
      </c>
      <c r="AB24" s="257" t="str">
        <f t="shared" si="18"/>
        <v>0 0</v>
      </c>
      <c r="AC24" s="257"/>
      <c r="AD24" s="258">
        <f ca="1">SUMIF(bogenpreise!$A$2:$A$22,AB24,bogenpreise!$D$2:$D$21)</f>
        <v>0</v>
      </c>
      <c r="AE24" s="258">
        <f t="shared" ca="1" si="19"/>
        <v>0</v>
      </c>
      <c r="AF24" s="259">
        <v>11</v>
      </c>
      <c r="AG24" s="260" t="str">
        <f t="shared" si="20"/>
        <v>0 0</v>
      </c>
      <c r="AH24" s="261">
        <f ca="1">SUMIF(bogenpreise!$A$2:$A$22,AG24,bogenpreise!$D$2:$D$21)</f>
        <v>0</v>
      </c>
      <c r="AI24" s="262">
        <f t="shared" ca="1" si="2"/>
        <v>0</v>
      </c>
      <c r="AK24" s="256">
        <v>11</v>
      </c>
      <c r="AL24" s="257">
        <f t="shared" si="21"/>
        <v>0</v>
      </c>
      <c r="AM24" s="257">
        <f t="shared" si="22"/>
        <v>0</v>
      </c>
      <c r="AN24" s="257" t="str">
        <f t="shared" si="23"/>
        <v>0 0</v>
      </c>
      <c r="AO24" s="257"/>
      <c r="AP24" s="258">
        <f ca="1">SUMIF(bogenpreise!$A$2:$A$22,AN24,bogenpreise!$D$2:$D$21)</f>
        <v>0</v>
      </c>
      <c r="AQ24" s="258">
        <f t="shared" ca="1" si="24"/>
        <v>0</v>
      </c>
      <c r="AR24" s="259">
        <v>11</v>
      </c>
      <c r="AS24" s="260" t="str">
        <f t="shared" si="25"/>
        <v>0 0</v>
      </c>
      <c r="AT24" s="261">
        <f ca="1">SUMIF(bogenpreise!$A$2:$A$22,AS24,bogenpreise!$D$2:$D$21)</f>
        <v>0</v>
      </c>
      <c r="AU24" s="262">
        <f t="shared" ca="1" si="3"/>
        <v>0</v>
      </c>
      <c r="AW24" s="256">
        <v>11</v>
      </c>
      <c r="AX24" s="257">
        <f t="shared" si="26"/>
        <v>0</v>
      </c>
      <c r="AY24" s="257">
        <f t="shared" si="27"/>
        <v>0</v>
      </c>
      <c r="AZ24" s="257" t="str">
        <f t="shared" si="28"/>
        <v>0 0</v>
      </c>
      <c r="BA24" s="257"/>
      <c r="BB24" s="258">
        <f ca="1">SUMIF(bogenpreise!$A$2:$A$22,AZ24,bogenpreise!$D$2:$D$21)</f>
        <v>0</v>
      </c>
      <c r="BC24" s="258">
        <f t="shared" ca="1" si="29"/>
        <v>0</v>
      </c>
      <c r="BD24" s="259">
        <v>11</v>
      </c>
      <c r="BE24" s="260" t="str">
        <f t="shared" si="30"/>
        <v>0 0</v>
      </c>
      <c r="BF24" s="261">
        <f ca="1">SUMIF(bogenpreise!$A$2:$A$22,BE24,bogenpreise!$D$2:$D$21)</f>
        <v>0</v>
      </c>
      <c r="BG24" s="262">
        <f t="shared" ca="1" si="4"/>
        <v>0</v>
      </c>
    </row>
    <row r="25" spans="1:59" ht="17.25" customHeight="1">
      <c r="A25" s="256">
        <v>12</v>
      </c>
      <c r="B25" s="257">
        <f t="shared" si="5"/>
        <v>0</v>
      </c>
      <c r="C25" s="257">
        <f t="shared" si="6"/>
        <v>0</v>
      </c>
      <c r="D25" s="257" t="str">
        <f t="shared" si="7"/>
        <v>0 0</v>
      </c>
      <c r="E25" s="257"/>
      <c r="F25" s="258">
        <f ca="1">SUMIF(bogenpreise!$A$2:$A$22,D25,bogenpreise!$D$2:$D$21)</f>
        <v>0</v>
      </c>
      <c r="G25" s="258">
        <f t="shared" ca="1" si="8"/>
        <v>0</v>
      </c>
      <c r="H25" s="259">
        <v>12</v>
      </c>
      <c r="I25" s="260" t="str">
        <f t="shared" si="9"/>
        <v>0 0</v>
      </c>
      <c r="J25" s="261">
        <f ca="1">SUMIF(bogenpreise!$A$2:$A$22,I25,bogenpreise!$D$2:$D$21)</f>
        <v>0</v>
      </c>
      <c r="K25" s="262">
        <f t="shared" ca="1" si="10"/>
        <v>0</v>
      </c>
      <c r="M25" s="256">
        <v>12</v>
      </c>
      <c r="N25" s="257">
        <f t="shared" si="11"/>
        <v>0</v>
      </c>
      <c r="O25" s="257">
        <f t="shared" si="12"/>
        <v>0</v>
      </c>
      <c r="P25" s="257" t="str">
        <f t="shared" si="13"/>
        <v>0 0</v>
      </c>
      <c r="Q25" s="257"/>
      <c r="R25" s="258">
        <f ca="1">SUMIF(bogenpreise!$A$2:$A$22,P25,bogenpreise!$D$2:$D$21)</f>
        <v>0</v>
      </c>
      <c r="S25" s="258">
        <f t="shared" ca="1" si="14"/>
        <v>0</v>
      </c>
      <c r="T25" s="259">
        <v>12</v>
      </c>
      <c r="U25" s="260" t="str">
        <f t="shared" si="15"/>
        <v>0 0</v>
      </c>
      <c r="V25" s="261">
        <f ca="1">SUMIF(bogenpreise!$A$2:$A$22,U25,bogenpreise!$D$2:$D$21)</f>
        <v>0</v>
      </c>
      <c r="W25" s="262">
        <f t="shared" ca="1" si="1"/>
        <v>0</v>
      </c>
      <c r="Y25" s="256">
        <v>12</v>
      </c>
      <c r="Z25" s="257">
        <f t="shared" si="16"/>
        <v>0</v>
      </c>
      <c r="AA25" s="257">
        <f t="shared" si="17"/>
        <v>0</v>
      </c>
      <c r="AB25" s="257" t="str">
        <f t="shared" si="18"/>
        <v>0 0</v>
      </c>
      <c r="AC25" s="257"/>
      <c r="AD25" s="258">
        <f ca="1">SUMIF(bogenpreise!$A$2:$A$22,AB25,bogenpreise!$D$2:$D$21)</f>
        <v>0</v>
      </c>
      <c r="AE25" s="258">
        <f t="shared" ca="1" si="19"/>
        <v>0</v>
      </c>
      <c r="AF25" s="259">
        <v>12</v>
      </c>
      <c r="AG25" s="260" t="str">
        <f t="shared" si="20"/>
        <v>0 0</v>
      </c>
      <c r="AH25" s="261">
        <f ca="1">SUMIF(bogenpreise!$A$2:$A$22,AG25,bogenpreise!$D$2:$D$21)</f>
        <v>0</v>
      </c>
      <c r="AI25" s="262">
        <f t="shared" ca="1" si="2"/>
        <v>0</v>
      </c>
      <c r="AK25" s="256">
        <v>12</v>
      </c>
      <c r="AL25" s="257">
        <f t="shared" si="21"/>
        <v>0</v>
      </c>
      <c r="AM25" s="257">
        <f t="shared" si="22"/>
        <v>0</v>
      </c>
      <c r="AN25" s="257" t="str">
        <f t="shared" si="23"/>
        <v>0 0</v>
      </c>
      <c r="AO25" s="257"/>
      <c r="AP25" s="258">
        <f ca="1">SUMIF(bogenpreise!$A$2:$A$22,AN25,bogenpreise!$D$2:$D$21)</f>
        <v>0</v>
      </c>
      <c r="AQ25" s="258">
        <f t="shared" ca="1" si="24"/>
        <v>0</v>
      </c>
      <c r="AR25" s="259">
        <v>12</v>
      </c>
      <c r="AS25" s="260" t="str">
        <f t="shared" si="25"/>
        <v>0 0</v>
      </c>
      <c r="AT25" s="261">
        <f ca="1">SUMIF(bogenpreise!$A$2:$A$22,AS25,bogenpreise!$D$2:$D$21)</f>
        <v>0</v>
      </c>
      <c r="AU25" s="262">
        <f t="shared" ca="1" si="3"/>
        <v>0</v>
      </c>
      <c r="AW25" s="256">
        <v>12</v>
      </c>
      <c r="AX25" s="257">
        <f t="shared" si="26"/>
        <v>0</v>
      </c>
      <c r="AY25" s="257">
        <f t="shared" si="27"/>
        <v>0</v>
      </c>
      <c r="AZ25" s="257" t="str">
        <f t="shared" si="28"/>
        <v>0 0</v>
      </c>
      <c r="BA25" s="257"/>
      <c r="BB25" s="258">
        <f ca="1">SUMIF(bogenpreise!$A$2:$A$22,AZ25,bogenpreise!$D$2:$D$21)</f>
        <v>0</v>
      </c>
      <c r="BC25" s="258">
        <f t="shared" ca="1" si="29"/>
        <v>0</v>
      </c>
      <c r="BD25" s="259">
        <v>12</v>
      </c>
      <c r="BE25" s="260" t="str">
        <f t="shared" si="30"/>
        <v>0 0</v>
      </c>
      <c r="BF25" s="261">
        <f ca="1">SUMIF(bogenpreise!$A$2:$A$22,BE25,bogenpreise!$D$2:$D$21)</f>
        <v>0</v>
      </c>
      <c r="BG25" s="262">
        <f t="shared" ca="1" si="4"/>
        <v>0</v>
      </c>
    </row>
    <row r="26" spans="1:59" ht="17.25" customHeight="1">
      <c r="A26" s="256">
        <v>13</v>
      </c>
      <c r="B26" s="257">
        <f t="shared" si="5"/>
        <v>0</v>
      </c>
      <c r="C26" s="257">
        <f t="shared" si="6"/>
        <v>0</v>
      </c>
      <c r="D26" s="257" t="str">
        <f t="shared" si="7"/>
        <v>0 0</v>
      </c>
      <c r="E26" s="257"/>
      <c r="F26" s="258">
        <f ca="1">SUMIF(bogenpreise!$A$2:$A$22,D26,bogenpreise!$D$2:$D$21)</f>
        <v>0</v>
      </c>
      <c r="G26" s="258">
        <f t="shared" ca="1" si="8"/>
        <v>0</v>
      </c>
      <c r="H26" s="259">
        <v>13</v>
      </c>
      <c r="I26" s="260" t="str">
        <f t="shared" si="9"/>
        <v>0 0</v>
      </c>
      <c r="J26" s="261">
        <f ca="1">SUMIF(bogenpreise!$A$2:$A$22,I26,bogenpreise!$D$2:$D$21)</f>
        <v>0</v>
      </c>
      <c r="K26" s="262">
        <f t="shared" ca="1" si="10"/>
        <v>0</v>
      </c>
      <c r="M26" s="256">
        <v>13</v>
      </c>
      <c r="N26" s="257">
        <f t="shared" si="11"/>
        <v>0</v>
      </c>
      <c r="O26" s="257">
        <f t="shared" si="12"/>
        <v>0</v>
      </c>
      <c r="P26" s="257" t="str">
        <f t="shared" si="13"/>
        <v>0 0</v>
      </c>
      <c r="Q26" s="257"/>
      <c r="R26" s="258">
        <f ca="1">SUMIF(bogenpreise!$A$2:$A$22,P26,bogenpreise!$D$2:$D$21)</f>
        <v>0</v>
      </c>
      <c r="S26" s="258">
        <f t="shared" ca="1" si="14"/>
        <v>0</v>
      </c>
      <c r="T26" s="259">
        <v>13</v>
      </c>
      <c r="U26" s="260" t="str">
        <f t="shared" si="15"/>
        <v>0 0</v>
      </c>
      <c r="V26" s="261">
        <f ca="1">SUMIF(bogenpreise!$A$2:$A$22,U26,bogenpreise!$D$2:$D$21)</f>
        <v>0</v>
      </c>
      <c r="W26" s="262">
        <f t="shared" ca="1" si="1"/>
        <v>0</v>
      </c>
      <c r="Y26" s="256">
        <v>13</v>
      </c>
      <c r="Z26" s="257">
        <f t="shared" si="16"/>
        <v>0</v>
      </c>
      <c r="AA26" s="257">
        <f t="shared" si="17"/>
        <v>0</v>
      </c>
      <c r="AB26" s="257" t="str">
        <f t="shared" si="18"/>
        <v>0 0</v>
      </c>
      <c r="AC26" s="257"/>
      <c r="AD26" s="258">
        <f ca="1">SUMIF(bogenpreise!$A$2:$A$22,AB26,bogenpreise!$D$2:$D$21)</f>
        <v>0</v>
      </c>
      <c r="AE26" s="258">
        <f t="shared" ca="1" si="19"/>
        <v>0</v>
      </c>
      <c r="AF26" s="259">
        <v>13</v>
      </c>
      <c r="AG26" s="260" t="str">
        <f t="shared" si="20"/>
        <v>0 0</v>
      </c>
      <c r="AH26" s="261">
        <f ca="1">SUMIF(bogenpreise!$A$2:$A$22,AG26,bogenpreise!$D$2:$D$21)</f>
        <v>0</v>
      </c>
      <c r="AI26" s="262">
        <f t="shared" ca="1" si="2"/>
        <v>0</v>
      </c>
      <c r="AK26" s="256">
        <v>13</v>
      </c>
      <c r="AL26" s="257">
        <f t="shared" si="21"/>
        <v>0</v>
      </c>
      <c r="AM26" s="257">
        <f t="shared" si="22"/>
        <v>0</v>
      </c>
      <c r="AN26" s="257" t="str">
        <f t="shared" si="23"/>
        <v>0 0</v>
      </c>
      <c r="AO26" s="257"/>
      <c r="AP26" s="258">
        <f ca="1">SUMIF(bogenpreise!$A$2:$A$22,AN26,bogenpreise!$D$2:$D$21)</f>
        <v>0</v>
      </c>
      <c r="AQ26" s="258">
        <f t="shared" ca="1" si="24"/>
        <v>0</v>
      </c>
      <c r="AR26" s="259">
        <v>13</v>
      </c>
      <c r="AS26" s="260" t="str">
        <f t="shared" si="25"/>
        <v>0 0</v>
      </c>
      <c r="AT26" s="261">
        <f ca="1">SUMIF(bogenpreise!$A$2:$A$22,AS26,bogenpreise!$D$2:$D$21)</f>
        <v>0</v>
      </c>
      <c r="AU26" s="262">
        <f t="shared" ca="1" si="3"/>
        <v>0</v>
      </c>
      <c r="AW26" s="256">
        <v>13</v>
      </c>
      <c r="AX26" s="257">
        <f t="shared" si="26"/>
        <v>0</v>
      </c>
      <c r="AY26" s="257">
        <f t="shared" si="27"/>
        <v>0</v>
      </c>
      <c r="AZ26" s="257" t="str">
        <f t="shared" si="28"/>
        <v>0 0</v>
      </c>
      <c r="BA26" s="257"/>
      <c r="BB26" s="258">
        <f ca="1">SUMIF(bogenpreise!$A$2:$A$22,AZ26,bogenpreise!$D$2:$D$21)</f>
        <v>0</v>
      </c>
      <c r="BC26" s="258">
        <f t="shared" ca="1" si="29"/>
        <v>0</v>
      </c>
      <c r="BD26" s="259">
        <v>13</v>
      </c>
      <c r="BE26" s="260" t="str">
        <f t="shared" si="30"/>
        <v>0 0</v>
      </c>
      <c r="BF26" s="261">
        <f ca="1">SUMIF(bogenpreise!$A$2:$A$22,BE26,bogenpreise!$D$2:$D$21)</f>
        <v>0</v>
      </c>
      <c r="BG26" s="262">
        <f t="shared" ca="1" si="4"/>
        <v>0</v>
      </c>
    </row>
    <row r="27" spans="1:59" ht="17.25" customHeight="1">
      <c r="A27" s="256">
        <v>14</v>
      </c>
      <c r="B27" s="257">
        <f t="shared" si="5"/>
        <v>0</v>
      </c>
      <c r="C27" s="257">
        <f t="shared" si="6"/>
        <v>0</v>
      </c>
      <c r="D27" s="257" t="str">
        <f t="shared" si="7"/>
        <v>0 0</v>
      </c>
      <c r="E27" s="257"/>
      <c r="F27" s="258">
        <f ca="1">SUMIF(bogenpreise!$A$2:$A$22,D27,bogenpreise!$D$2:$D$21)</f>
        <v>0</v>
      </c>
      <c r="G27" s="258">
        <f t="shared" ca="1" si="8"/>
        <v>0</v>
      </c>
      <c r="H27" s="259">
        <v>14</v>
      </c>
      <c r="I27" s="260" t="str">
        <f t="shared" si="9"/>
        <v>0 0</v>
      </c>
      <c r="J27" s="261">
        <f ca="1">SUMIF(bogenpreise!$A$2:$A$22,I27,bogenpreise!$D$2:$D$21)</f>
        <v>0</v>
      </c>
      <c r="K27" s="262">
        <f t="shared" ca="1" si="10"/>
        <v>0</v>
      </c>
      <c r="M27" s="256">
        <v>14</v>
      </c>
      <c r="N27" s="257">
        <f t="shared" si="11"/>
        <v>0</v>
      </c>
      <c r="O27" s="257">
        <f t="shared" si="12"/>
        <v>0</v>
      </c>
      <c r="P27" s="257" t="str">
        <f t="shared" si="13"/>
        <v>0 0</v>
      </c>
      <c r="Q27" s="257"/>
      <c r="R27" s="258">
        <f ca="1">SUMIF(bogenpreise!$A$2:$A$22,P27,bogenpreise!$D$2:$D$21)</f>
        <v>0</v>
      </c>
      <c r="S27" s="258">
        <f t="shared" ca="1" si="14"/>
        <v>0</v>
      </c>
      <c r="T27" s="259">
        <v>14</v>
      </c>
      <c r="U27" s="260" t="str">
        <f t="shared" si="15"/>
        <v>0 0</v>
      </c>
      <c r="V27" s="261">
        <f ca="1">SUMIF(bogenpreise!$A$2:$A$22,U27,bogenpreise!$D$2:$D$21)</f>
        <v>0</v>
      </c>
      <c r="W27" s="262">
        <f t="shared" ca="1" si="1"/>
        <v>0</v>
      </c>
      <c r="Y27" s="256">
        <v>14</v>
      </c>
      <c r="Z27" s="257">
        <f t="shared" si="16"/>
        <v>0</v>
      </c>
      <c r="AA27" s="257">
        <f t="shared" si="17"/>
        <v>0</v>
      </c>
      <c r="AB27" s="257" t="str">
        <f t="shared" si="18"/>
        <v>0 0</v>
      </c>
      <c r="AC27" s="257"/>
      <c r="AD27" s="258">
        <f ca="1">SUMIF(bogenpreise!$A$2:$A$22,AB27,bogenpreise!$D$2:$D$21)</f>
        <v>0</v>
      </c>
      <c r="AE27" s="258">
        <f t="shared" ca="1" si="19"/>
        <v>0</v>
      </c>
      <c r="AF27" s="259">
        <v>14</v>
      </c>
      <c r="AG27" s="260" t="str">
        <f t="shared" si="20"/>
        <v>0 0</v>
      </c>
      <c r="AH27" s="261">
        <f ca="1">SUMIF(bogenpreise!$A$2:$A$22,AG27,bogenpreise!$D$2:$D$21)</f>
        <v>0</v>
      </c>
      <c r="AI27" s="262">
        <f t="shared" ca="1" si="2"/>
        <v>0</v>
      </c>
      <c r="AK27" s="256">
        <v>14</v>
      </c>
      <c r="AL27" s="257">
        <f t="shared" si="21"/>
        <v>0</v>
      </c>
      <c r="AM27" s="257">
        <f t="shared" si="22"/>
        <v>0</v>
      </c>
      <c r="AN27" s="257" t="str">
        <f t="shared" si="23"/>
        <v>0 0</v>
      </c>
      <c r="AO27" s="257"/>
      <c r="AP27" s="258">
        <f ca="1">SUMIF(bogenpreise!$A$2:$A$22,AN27,bogenpreise!$D$2:$D$21)</f>
        <v>0</v>
      </c>
      <c r="AQ27" s="258">
        <f t="shared" ca="1" si="24"/>
        <v>0</v>
      </c>
      <c r="AR27" s="259">
        <v>14</v>
      </c>
      <c r="AS27" s="260" t="str">
        <f t="shared" si="25"/>
        <v>0 0</v>
      </c>
      <c r="AT27" s="261">
        <f ca="1">SUMIF(bogenpreise!$A$2:$A$22,AS27,bogenpreise!$D$2:$D$21)</f>
        <v>0</v>
      </c>
      <c r="AU27" s="262">
        <f t="shared" ca="1" si="3"/>
        <v>0</v>
      </c>
      <c r="AW27" s="256">
        <v>14</v>
      </c>
      <c r="AX27" s="257">
        <f t="shared" si="26"/>
        <v>0</v>
      </c>
      <c r="AY27" s="257">
        <f t="shared" si="27"/>
        <v>0</v>
      </c>
      <c r="AZ27" s="257" t="str">
        <f t="shared" si="28"/>
        <v>0 0</v>
      </c>
      <c r="BA27" s="257"/>
      <c r="BB27" s="258">
        <f ca="1">SUMIF(bogenpreise!$A$2:$A$22,AZ27,bogenpreise!$D$2:$D$21)</f>
        <v>0</v>
      </c>
      <c r="BC27" s="258">
        <f t="shared" ca="1" si="29"/>
        <v>0</v>
      </c>
      <c r="BD27" s="259">
        <v>14</v>
      </c>
      <c r="BE27" s="260" t="str">
        <f t="shared" si="30"/>
        <v>0 0</v>
      </c>
      <c r="BF27" s="261">
        <f ca="1">SUMIF(bogenpreise!$A$2:$A$22,BE27,bogenpreise!$D$2:$D$21)</f>
        <v>0</v>
      </c>
      <c r="BG27" s="262">
        <f t="shared" ca="1" si="4"/>
        <v>0</v>
      </c>
    </row>
    <row r="28" spans="1:59" ht="17.25" customHeight="1">
      <c r="A28" s="256">
        <v>15</v>
      </c>
      <c r="B28" s="257">
        <f t="shared" si="5"/>
        <v>0</v>
      </c>
      <c r="C28" s="257">
        <f t="shared" si="6"/>
        <v>0</v>
      </c>
      <c r="D28" s="257" t="str">
        <f t="shared" si="7"/>
        <v>0 0</v>
      </c>
      <c r="E28" s="257"/>
      <c r="F28" s="258">
        <f ca="1">SUMIF(bogenpreise!$A$2:$A$22,D28,bogenpreise!$D$2:$D$21)</f>
        <v>0</v>
      </c>
      <c r="G28" s="258">
        <f t="shared" ca="1" si="8"/>
        <v>0</v>
      </c>
      <c r="H28" s="259">
        <v>15</v>
      </c>
      <c r="I28" s="260" t="str">
        <f t="shared" si="9"/>
        <v>0 0</v>
      </c>
      <c r="J28" s="261">
        <f ca="1">SUMIF(bogenpreise!$A$2:$A$22,I28,bogenpreise!$D$2:$D$21)</f>
        <v>0</v>
      </c>
      <c r="K28" s="262">
        <f t="shared" ca="1" si="10"/>
        <v>0</v>
      </c>
      <c r="M28" s="256">
        <v>15</v>
      </c>
      <c r="N28" s="257">
        <f t="shared" si="11"/>
        <v>0</v>
      </c>
      <c r="O28" s="257">
        <f t="shared" si="12"/>
        <v>0</v>
      </c>
      <c r="P28" s="257" t="str">
        <f t="shared" si="13"/>
        <v>0 0</v>
      </c>
      <c r="Q28" s="257"/>
      <c r="R28" s="258">
        <f ca="1">SUMIF(bogenpreise!$A$2:$A$22,P28,bogenpreise!$D$2:$D$21)</f>
        <v>0</v>
      </c>
      <c r="S28" s="258">
        <f t="shared" ca="1" si="14"/>
        <v>0</v>
      </c>
      <c r="T28" s="259">
        <v>15</v>
      </c>
      <c r="U28" s="260" t="str">
        <f t="shared" si="15"/>
        <v>0 0</v>
      </c>
      <c r="V28" s="261">
        <f ca="1">SUMIF(bogenpreise!$A$2:$A$22,U28,bogenpreise!$D$2:$D$21)</f>
        <v>0</v>
      </c>
      <c r="W28" s="262">
        <f t="shared" ca="1" si="1"/>
        <v>0</v>
      </c>
      <c r="Y28" s="256">
        <v>15</v>
      </c>
      <c r="Z28" s="257">
        <f t="shared" si="16"/>
        <v>0</v>
      </c>
      <c r="AA28" s="257">
        <f t="shared" si="17"/>
        <v>0</v>
      </c>
      <c r="AB28" s="257" t="str">
        <f t="shared" si="18"/>
        <v>0 0</v>
      </c>
      <c r="AC28" s="257"/>
      <c r="AD28" s="258">
        <f ca="1">SUMIF(bogenpreise!$A$2:$A$22,AB28,bogenpreise!$D$2:$D$21)</f>
        <v>0</v>
      </c>
      <c r="AE28" s="258">
        <f t="shared" ca="1" si="19"/>
        <v>0</v>
      </c>
      <c r="AF28" s="259">
        <v>15</v>
      </c>
      <c r="AG28" s="260" t="str">
        <f t="shared" si="20"/>
        <v>0 0</v>
      </c>
      <c r="AH28" s="261">
        <f ca="1">SUMIF(bogenpreise!$A$2:$A$22,AG28,bogenpreise!$D$2:$D$21)</f>
        <v>0</v>
      </c>
      <c r="AI28" s="262">
        <f t="shared" ca="1" si="2"/>
        <v>0</v>
      </c>
      <c r="AK28" s="256">
        <v>15</v>
      </c>
      <c r="AL28" s="257">
        <f t="shared" si="21"/>
        <v>0</v>
      </c>
      <c r="AM28" s="257">
        <f t="shared" si="22"/>
        <v>0</v>
      </c>
      <c r="AN28" s="257" t="str">
        <f t="shared" si="23"/>
        <v>0 0</v>
      </c>
      <c r="AO28" s="257"/>
      <c r="AP28" s="258">
        <f ca="1">SUMIF(bogenpreise!$A$2:$A$22,AN28,bogenpreise!$D$2:$D$21)</f>
        <v>0</v>
      </c>
      <c r="AQ28" s="258">
        <f t="shared" ca="1" si="24"/>
        <v>0</v>
      </c>
      <c r="AR28" s="259">
        <v>15</v>
      </c>
      <c r="AS28" s="260" t="str">
        <f t="shared" si="25"/>
        <v>0 0</v>
      </c>
      <c r="AT28" s="261">
        <f ca="1">SUMIF(bogenpreise!$A$2:$A$22,AS28,bogenpreise!$D$2:$D$21)</f>
        <v>0</v>
      </c>
      <c r="AU28" s="262">
        <f t="shared" ca="1" si="3"/>
        <v>0</v>
      </c>
      <c r="AW28" s="256">
        <v>15</v>
      </c>
      <c r="AX28" s="257">
        <f t="shared" si="26"/>
        <v>0</v>
      </c>
      <c r="AY28" s="257">
        <f t="shared" si="27"/>
        <v>0</v>
      </c>
      <c r="AZ28" s="257" t="str">
        <f t="shared" si="28"/>
        <v>0 0</v>
      </c>
      <c r="BA28" s="257"/>
      <c r="BB28" s="258">
        <f ca="1">SUMIF(bogenpreise!$A$2:$A$22,AZ28,bogenpreise!$D$2:$D$21)</f>
        <v>0</v>
      </c>
      <c r="BC28" s="258">
        <f t="shared" ca="1" si="29"/>
        <v>0</v>
      </c>
      <c r="BD28" s="259">
        <v>15</v>
      </c>
      <c r="BE28" s="260" t="str">
        <f t="shared" si="30"/>
        <v>0 0</v>
      </c>
      <c r="BF28" s="261">
        <f ca="1">SUMIF(bogenpreise!$A$2:$A$22,BE28,bogenpreise!$D$2:$D$21)</f>
        <v>0</v>
      </c>
      <c r="BG28" s="262">
        <f t="shared" ca="1" si="4"/>
        <v>0</v>
      </c>
    </row>
    <row r="29" spans="1:59" ht="17.25" customHeight="1">
      <c r="A29" s="256">
        <v>16</v>
      </c>
      <c r="B29" s="257">
        <f t="shared" si="5"/>
        <v>0</v>
      </c>
      <c r="C29" s="257">
        <f t="shared" si="6"/>
        <v>0</v>
      </c>
      <c r="D29" s="257" t="str">
        <f t="shared" si="7"/>
        <v>0 0</v>
      </c>
      <c r="E29" s="257"/>
      <c r="F29" s="258">
        <f ca="1">SUMIF(bogenpreise!$A$2:$A$22,D29,bogenpreise!$D$2:$D$21)</f>
        <v>0</v>
      </c>
      <c r="G29" s="258">
        <f t="shared" ca="1" si="8"/>
        <v>0</v>
      </c>
      <c r="H29" s="259">
        <v>16</v>
      </c>
      <c r="I29" s="260" t="str">
        <f t="shared" si="9"/>
        <v>0 0</v>
      </c>
      <c r="J29" s="261">
        <f ca="1">SUMIF(bogenpreise!$A$2:$A$22,I29,bogenpreise!$D$2:$D$21)</f>
        <v>0</v>
      </c>
      <c r="K29" s="262">
        <f t="shared" ca="1" si="10"/>
        <v>0</v>
      </c>
      <c r="M29" s="256">
        <v>16</v>
      </c>
      <c r="N29" s="257">
        <f t="shared" si="11"/>
        <v>0</v>
      </c>
      <c r="O29" s="257">
        <f t="shared" si="12"/>
        <v>0</v>
      </c>
      <c r="P29" s="257" t="str">
        <f t="shared" si="13"/>
        <v>0 0</v>
      </c>
      <c r="Q29" s="257"/>
      <c r="R29" s="258">
        <f ca="1">SUMIF(bogenpreise!$A$2:$A$22,P29,bogenpreise!$D$2:$D$21)</f>
        <v>0</v>
      </c>
      <c r="S29" s="258">
        <f t="shared" ca="1" si="14"/>
        <v>0</v>
      </c>
      <c r="T29" s="259">
        <v>16</v>
      </c>
      <c r="U29" s="260" t="str">
        <f t="shared" si="15"/>
        <v>0 0</v>
      </c>
      <c r="V29" s="261">
        <f ca="1">SUMIF(bogenpreise!$A$2:$A$22,U29,bogenpreise!$D$2:$D$21)</f>
        <v>0</v>
      </c>
      <c r="W29" s="262">
        <f t="shared" ca="1" si="1"/>
        <v>0</v>
      </c>
      <c r="Y29" s="256">
        <v>16</v>
      </c>
      <c r="Z29" s="257">
        <f t="shared" si="16"/>
        <v>0</v>
      </c>
      <c r="AA29" s="257">
        <f t="shared" si="17"/>
        <v>0</v>
      </c>
      <c r="AB29" s="257" t="str">
        <f t="shared" si="18"/>
        <v>0 0</v>
      </c>
      <c r="AC29" s="257"/>
      <c r="AD29" s="258">
        <f ca="1">SUMIF(bogenpreise!$A$2:$A$22,AB29,bogenpreise!$D$2:$D$21)</f>
        <v>0</v>
      </c>
      <c r="AE29" s="258">
        <f t="shared" ca="1" si="19"/>
        <v>0</v>
      </c>
      <c r="AF29" s="259">
        <v>16</v>
      </c>
      <c r="AG29" s="260" t="str">
        <f t="shared" si="20"/>
        <v>0 0</v>
      </c>
      <c r="AH29" s="261">
        <f ca="1">SUMIF(bogenpreise!$A$2:$A$22,AG29,bogenpreise!$D$2:$D$21)</f>
        <v>0</v>
      </c>
      <c r="AI29" s="262">
        <f t="shared" ca="1" si="2"/>
        <v>0</v>
      </c>
      <c r="AK29" s="256">
        <v>16</v>
      </c>
      <c r="AL29" s="257">
        <f t="shared" si="21"/>
        <v>0</v>
      </c>
      <c r="AM29" s="257">
        <f t="shared" si="22"/>
        <v>0</v>
      </c>
      <c r="AN29" s="257" t="str">
        <f t="shared" si="23"/>
        <v>0 0</v>
      </c>
      <c r="AO29" s="257"/>
      <c r="AP29" s="258">
        <f ca="1">SUMIF(bogenpreise!$A$2:$A$22,AN29,bogenpreise!$D$2:$D$21)</f>
        <v>0</v>
      </c>
      <c r="AQ29" s="258">
        <f t="shared" ca="1" si="24"/>
        <v>0</v>
      </c>
      <c r="AR29" s="259">
        <v>16</v>
      </c>
      <c r="AS29" s="260" t="str">
        <f t="shared" si="25"/>
        <v>0 0</v>
      </c>
      <c r="AT29" s="261">
        <f ca="1">SUMIF(bogenpreise!$A$2:$A$22,AS29,bogenpreise!$D$2:$D$21)</f>
        <v>0</v>
      </c>
      <c r="AU29" s="262">
        <f t="shared" ca="1" si="3"/>
        <v>0</v>
      </c>
      <c r="AW29" s="256">
        <v>16</v>
      </c>
      <c r="AX29" s="257">
        <f t="shared" si="26"/>
        <v>0</v>
      </c>
      <c r="AY29" s="257">
        <f t="shared" si="27"/>
        <v>0</v>
      </c>
      <c r="AZ29" s="257" t="str">
        <f t="shared" si="28"/>
        <v>0 0</v>
      </c>
      <c r="BA29" s="257"/>
      <c r="BB29" s="258">
        <f ca="1">SUMIF(bogenpreise!$A$2:$A$22,AZ29,bogenpreise!$D$2:$D$21)</f>
        <v>0</v>
      </c>
      <c r="BC29" s="258">
        <f t="shared" ca="1" si="29"/>
        <v>0</v>
      </c>
      <c r="BD29" s="259">
        <v>16</v>
      </c>
      <c r="BE29" s="260" t="str">
        <f t="shared" si="30"/>
        <v>0 0</v>
      </c>
      <c r="BF29" s="261">
        <f ca="1">SUMIF(bogenpreise!$A$2:$A$22,BE29,bogenpreise!$D$2:$D$21)</f>
        <v>0</v>
      </c>
      <c r="BG29" s="262">
        <f t="shared" ca="1" si="4"/>
        <v>0</v>
      </c>
    </row>
    <row r="30" spans="1:59" ht="17.25" customHeight="1">
      <c r="A30" s="256">
        <v>17</v>
      </c>
      <c r="B30" s="257">
        <f t="shared" si="5"/>
        <v>0</v>
      </c>
      <c r="C30" s="257">
        <f t="shared" si="6"/>
        <v>0</v>
      </c>
      <c r="D30" s="257" t="str">
        <f t="shared" si="7"/>
        <v>0 0</v>
      </c>
      <c r="E30" s="257"/>
      <c r="F30" s="258">
        <f ca="1">SUMIF(bogenpreise!$A$2:$A$22,D30,bogenpreise!$D$2:$D$21)</f>
        <v>0</v>
      </c>
      <c r="G30" s="258">
        <f t="shared" ca="1" si="8"/>
        <v>0</v>
      </c>
      <c r="H30" s="259">
        <v>17</v>
      </c>
      <c r="I30" s="260" t="str">
        <f t="shared" si="9"/>
        <v>0 0</v>
      </c>
      <c r="J30" s="261">
        <f ca="1">SUMIF(bogenpreise!$A$2:$A$22,I30,bogenpreise!$D$2:$D$21)</f>
        <v>0</v>
      </c>
      <c r="K30" s="262">
        <f t="shared" ca="1" si="10"/>
        <v>0</v>
      </c>
      <c r="M30" s="256">
        <v>17</v>
      </c>
      <c r="N30" s="257">
        <f t="shared" si="11"/>
        <v>0</v>
      </c>
      <c r="O30" s="257">
        <f t="shared" si="12"/>
        <v>0</v>
      </c>
      <c r="P30" s="257" t="str">
        <f t="shared" si="13"/>
        <v>0 0</v>
      </c>
      <c r="Q30" s="257"/>
      <c r="R30" s="258">
        <f ca="1">SUMIF(bogenpreise!$A$2:$A$22,P30,bogenpreise!$D$2:$D$21)</f>
        <v>0</v>
      </c>
      <c r="S30" s="258">
        <f t="shared" ca="1" si="14"/>
        <v>0</v>
      </c>
      <c r="T30" s="259">
        <v>17</v>
      </c>
      <c r="U30" s="260" t="str">
        <f t="shared" si="15"/>
        <v>0 0</v>
      </c>
      <c r="V30" s="261">
        <f ca="1">SUMIF(bogenpreise!$A$2:$A$22,U30,bogenpreise!$D$2:$D$21)</f>
        <v>0</v>
      </c>
      <c r="W30" s="262">
        <f t="shared" ca="1" si="1"/>
        <v>0</v>
      </c>
      <c r="Y30" s="256">
        <v>17</v>
      </c>
      <c r="Z30" s="257">
        <f t="shared" si="16"/>
        <v>0</v>
      </c>
      <c r="AA30" s="257">
        <f t="shared" si="17"/>
        <v>0</v>
      </c>
      <c r="AB30" s="257" t="str">
        <f t="shared" si="18"/>
        <v>0 0</v>
      </c>
      <c r="AC30" s="257"/>
      <c r="AD30" s="258">
        <f ca="1">SUMIF(bogenpreise!$A$2:$A$22,AB30,bogenpreise!$D$2:$D$21)</f>
        <v>0</v>
      </c>
      <c r="AE30" s="258">
        <f t="shared" ca="1" si="19"/>
        <v>0</v>
      </c>
      <c r="AF30" s="259">
        <v>17</v>
      </c>
      <c r="AG30" s="260" t="str">
        <f t="shared" si="20"/>
        <v>0 0</v>
      </c>
      <c r="AH30" s="261">
        <f ca="1">SUMIF(bogenpreise!$A$2:$A$22,AG30,bogenpreise!$D$2:$D$21)</f>
        <v>0</v>
      </c>
      <c r="AI30" s="262">
        <f t="shared" ca="1" si="2"/>
        <v>0</v>
      </c>
      <c r="AK30" s="256">
        <v>17</v>
      </c>
      <c r="AL30" s="257">
        <f t="shared" si="21"/>
        <v>0</v>
      </c>
      <c r="AM30" s="257">
        <f t="shared" si="22"/>
        <v>0</v>
      </c>
      <c r="AN30" s="257" t="str">
        <f t="shared" si="23"/>
        <v>0 0</v>
      </c>
      <c r="AO30" s="257"/>
      <c r="AP30" s="258">
        <f ca="1">SUMIF(bogenpreise!$A$2:$A$22,AN30,bogenpreise!$D$2:$D$21)</f>
        <v>0</v>
      </c>
      <c r="AQ30" s="258">
        <f t="shared" ca="1" si="24"/>
        <v>0</v>
      </c>
      <c r="AR30" s="259">
        <v>17</v>
      </c>
      <c r="AS30" s="260" t="str">
        <f t="shared" si="25"/>
        <v>0 0</v>
      </c>
      <c r="AT30" s="261">
        <f ca="1">SUMIF(bogenpreise!$A$2:$A$22,AS30,bogenpreise!$D$2:$D$21)</f>
        <v>0</v>
      </c>
      <c r="AU30" s="262">
        <f t="shared" ca="1" si="3"/>
        <v>0</v>
      </c>
      <c r="AW30" s="256">
        <v>17</v>
      </c>
      <c r="AX30" s="257">
        <f t="shared" si="26"/>
        <v>0</v>
      </c>
      <c r="AY30" s="257">
        <f t="shared" si="27"/>
        <v>0</v>
      </c>
      <c r="AZ30" s="257" t="str">
        <f t="shared" si="28"/>
        <v>0 0</v>
      </c>
      <c r="BA30" s="257"/>
      <c r="BB30" s="258">
        <f ca="1">SUMIF(bogenpreise!$A$2:$A$22,AZ30,bogenpreise!$D$2:$D$21)</f>
        <v>0</v>
      </c>
      <c r="BC30" s="258">
        <f t="shared" ca="1" si="29"/>
        <v>0</v>
      </c>
      <c r="BD30" s="259">
        <v>17</v>
      </c>
      <c r="BE30" s="260" t="str">
        <f t="shared" si="30"/>
        <v>0 0</v>
      </c>
      <c r="BF30" s="261">
        <f ca="1">SUMIF(bogenpreise!$A$2:$A$22,BE30,bogenpreise!$D$2:$D$21)</f>
        <v>0</v>
      </c>
      <c r="BG30" s="262">
        <f t="shared" ca="1" si="4"/>
        <v>0</v>
      </c>
    </row>
    <row r="31" spans="1:59" ht="17.25" customHeight="1">
      <c r="A31" s="256">
        <v>18</v>
      </c>
      <c r="B31" s="257">
        <f t="shared" si="5"/>
        <v>0</v>
      </c>
      <c r="C31" s="257">
        <f t="shared" si="6"/>
        <v>0</v>
      </c>
      <c r="D31" s="257" t="str">
        <f t="shared" si="7"/>
        <v>0 0</v>
      </c>
      <c r="E31" s="257"/>
      <c r="F31" s="258">
        <f ca="1">SUMIF(bogenpreise!$A$2:$A$22,D31,bogenpreise!$D$2:$D$21)</f>
        <v>0</v>
      </c>
      <c r="G31" s="258">
        <f t="shared" ca="1" si="8"/>
        <v>0</v>
      </c>
      <c r="H31" s="259">
        <v>18</v>
      </c>
      <c r="I31" s="260" t="str">
        <f t="shared" si="9"/>
        <v>0 0</v>
      </c>
      <c r="J31" s="261">
        <f ca="1">SUMIF(bogenpreise!$A$2:$A$22,I31,bogenpreise!$D$2:$D$21)</f>
        <v>0</v>
      </c>
      <c r="K31" s="262">
        <f t="shared" ca="1" si="10"/>
        <v>0</v>
      </c>
      <c r="M31" s="256">
        <v>18</v>
      </c>
      <c r="N31" s="257">
        <f t="shared" si="11"/>
        <v>0</v>
      </c>
      <c r="O31" s="257">
        <f t="shared" si="12"/>
        <v>0</v>
      </c>
      <c r="P31" s="257" t="str">
        <f t="shared" si="13"/>
        <v>0 0</v>
      </c>
      <c r="Q31" s="257"/>
      <c r="R31" s="258">
        <f ca="1">SUMIF(bogenpreise!$A$2:$A$22,P31,bogenpreise!$D$2:$D$21)</f>
        <v>0</v>
      </c>
      <c r="S31" s="258">
        <f t="shared" ca="1" si="14"/>
        <v>0</v>
      </c>
      <c r="T31" s="259">
        <v>18</v>
      </c>
      <c r="U31" s="260" t="str">
        <f t="shared" si="15"/>
        <v>0 0</v>
      </c>
      <c r="V31" s="261">
        <f ca="1">SUMIF(bogenpreise!$A$2:$A$22,U31,bogenpreise!$D$2:$D$21)</f>
        <v>0</v>
      </c>
      <c r="W31" s="262">
        <f t="shared" ca="1" si="1"/>
        <v>0</v>
      </c>
      <c r="Y31" s="256">
        <v>18</v>
      </c>
      <c r="Z31" s="257">
        <f t="shared" si="16"/>
        <v>0</v>
      </c>
      <c r="AA31" s="257">
        <f t="shared" si="17"/>
        <v>0</v>
      </c>
      <c r="AB31" s="257" t="str">
        <f t="shared" si="18"/>
        <v>0 0</v>
      </c>
      <c r="AC31" s="257"/>
      <c r="AD31" s="258">
        <f ca="1">SUMIF(bogenpreise!$A$2:$A$22,AB31,bogenpreise!$D$2:$D$21)</f>
        <v>0</v>
      </c>
      <c r="AE31" s="258">
        <f t="shared" ca="1" si="19"/>
        <v>0</v>
      </c>
      <c r="AF31" s="259">
        <v>18</v>
      </c>
      <c r="AG31" s="260" t="str">
        <f t="shared" si="20"/>
        <v>0 0</v>
      </c>
      <c r="AH31" s="261">
        <f ca="1">SUMIF(bogenpreise!$A$2:$A$22,AG31,bogenpreise!$D$2:$D$21)</f>
        <v>0</v>
      </c>
      <c r="AI31" s="262">
        <f t="shared" ca="1" si="2"/>
        <v>0</v>
      </c>
      <c r="AK31" s="256">
        <v>18</v>
      </c>
      <c r="AL31" s="257">
        <f t="shared" si="21"/>
        <v>0</v>
      </c>
      <c r="AM31" s="257">
        <f t="shared" si="22"/>
        <v>0</v>
      </c>
      <c r="AN31" s="257" t="str">
        <f t="shared" si="23"/>
        <v>0 0</v>
      </c>
      <c r="AO31" s="257"/>
      <c r="AP31" s="258">
        <f ca="1">SUMIF(bogenpreise!$A$2:$A$22,AN31,bogenpreise!$D$2:$D$21)</f>
        <v>0</v>
      </c>
      <c r="AQ31" s="258">
        <f t="shared" ca="1" si="24"/>
        <v>0</v>
      </c>
      <c r="AR31" s="259">
        <v>18</v>
      </c>
      <c r="AS31" s="260" t="str">
        <f t="shared" si="25"/>
        <v>0 0</v>
      </c>
      <c r="AT31" s="261">
        <f ca="1">SUMIF(bogenpreise!$A$2:$A$22,AS31,bogenpreise!$D$2:$D$21)</f>
        <v>0</v>
      </c>
      <c r="AU31" s="262">
        <f t="shared" ca="1" si="3"/>
        <v>0</v>
      </c>
      <c r="AW31" s="256">
        <v>18</v>
      </c>
      <c r="AX31" s="257">
        <f t="shared" si="26"/>
        <v>0</v>
      </c>
      <c r="AY31" s="257">
        <f t="shared" si="27"/>
        <v>0</v>
      </c>
      <c r="AZ31" s="257" t="str">
        <f t="shared" si="28"/>
        <v>0 0</v>
      </c>
      <c r="BA31" s="257"/>
      <c r="BB31" s="258">
        <f ca="1">SUMIF(bogenpreise!$A$2:$A$22,AZ31,bogenpreise!$D$2:$D$21)</f>
        <v>0</v>
      </c>
      <c r="BC31" s="258">
        <f t="shared" ca="1" si="29"/>
        <v>0</v>
      </c>
      <c r="BD31" s="259">
        <v>18</v>
      </c>
      <c r="BE31" s="260" t="str">
        <f t="shared" si="30"/>
        <v>0 0</v>
      </c>
      <c r="BF31" s="261">
        <f ca="1">SUMIF(bogenpreise!$A$2:$A$22,BE31,bogenpreise!$D$2:$D$21)</f>
        <v>0</v>
      </c>
      <c r="BG31" s="262">
        <f t="shared" ca="1" si="4"/>
        <v>0</v>
      </c>
    </row>
    <row r="32" spans="1:59" ht="17.25" customHeight="1">
      <c r="A32" s="256">
        <v>19</v>
      </c>
      <c r="B32" s="257">
        <f t="shared" si="5"/>
        <v>0</v>
      </c>
      <c r="C32" s="257">
        <f t="shared" si="6"/>
        <v>0</v>
      </c>
      <c r="D32" s="257" t="str">
        <f t="shared" si="7"/>
        <v>0 0</v>
      </c>
      <c r="E32" s="257"/>
      <c r="F32" s="258">
        <f ca="1">SUMIF(bogenpreise!$A$2:$A$22,D32,bogenpreise!$D$2:$D$21)</f>
        <v>0</v>
      </c>
      <c r="G32" s="258">
        <f t="shared" ca="1" si="8"/>
        <v>0</v>
      </c>
      <c r="H32" s="259">
        <v>19</v>
      </c>
      <c r="I32" s="260" t="str">
        <f t="shared" si="9"/>
        <v>0 0</v>
      </c>
      <c r="J32" s="261">
        <f ca="1">SUMIF(bogenpreise!$A$2:$A$22,I32,bogenpreise!$D$2:$D$21)</f>
        <v>0</v>
      </c>
      <c r="K32" s="262">
        <f t="shared" ca="1" si="10"/>
        <v>0</v>
      </c>
      <c r="M32" s="256">
        <v>19</v>
      </c>
      <c r="N32" s="257">
        <f t="shared" si="11"/>
        <v>0</v>
      </c>
      <c r="O32" s="257">
        <f t="shared" si="12"/>
        <v>0</v>
      </c>
      <c r="P32" s="257" t="str">
        <f t="shared" si="13"/>
        <v>0 0</v>
      </c>
      <c r="Q32" s="257"/>
      <c r="R32" s="258">
        <f ca="1">SUMIF(bogenpreise!$A$2:$A$22,P32,bogenpreise!$D$2:$D$21)</f>
        <v>0</v>
      </c>
      <c r="S32" s="258">
        <f t="shared" ca="1" si="14"/>
        <v>0</v>
      </c>
      <c r="T32" s="259">
        <v>19</v>
      </c>
      <c r="U32" s="260" t="str">
        <f t="shared" si="15"/>
        <v>0 0</v>
      </c>
      <c r="V32" s="261">
        <f ca="1">SUMIF(bogenpreise!$A$2:$A$22,U32,bogenpreise!$D$2:$D$21)</f>
        <v>0</v>
      </c>
      <c r="W32" s="262">
        <f t="shared" ca="1" si="1"/>
        <v>0</v>
      </c>
      <c r="Y32" s="256">
        <v>19</v>
      </c>
      <c r="Z32" s="257">
        <f t="shared" si="16"/>
        <v>0</v>
      </c>
      <c r="AA32" s="257">
        <f t="shared" si="17"/>
        <v>0</v>
      </c>
      <c r="AB32" s="257" t="str">
        <f t="shared" si="18"/>
        <v>0 0</v>
      </c>
      <c r="AC32" s="257"/>
      <c r="AD32" s="258">
        <f ca="1">SUMIF(bogenpreise!$A$2:$A$22,AB32,bogenpreise!$D$2:$D$21)</f>
        <v>0</v>
      </c>
      <c r="AE32" s="258">
        <f t="shared" ca="1" si="19"/>
        <v>0</v>
      </c>
      <c r="AF32" s="259">
        <v>19</v>
      </c>
      <c r="AG32" s="260" t="str">
        <f t="shared" si="20"/>
        <v>0 0</v>
      </c>
      <c r="AH32" s="261">
        <f ca="1">SUMIF(bogenpreise!$A$2:$A$22,AG32,bogenpreise!$D$2:$D$21)</f>
        <v>0</v>
      </c>
      <c r="AI32" s="262">
        <f t="shared" ca="1" si="2"/>
        <v>0</v>
      </c>
      <c r="AK32" s="256">
        <v>19</v>
      </c>
      <c r="AL32" s="257">
        <f t="shared" si="21"/>
        <v>0</v>
      </c>
      <c r="AM32" s="257">
        <f t="shared" si="22"/>
        <v>0</v>
      </c>
      <c r="AN32" s="257" t="str">
        <f t="shared" si="23"/>
        <v>0 0</v>
      </c>
      <c r="AO32" s="257"/>
      <c r="AP32" s="258">
        <f ca="1">SUMIF(bogenpreise!$A$2:$A$22,AN32,bogenpreise!$D$2:$D$21)</f>
        <v>0</v>
      </c>
      <c r="AQ32" s="258">
        <f t="shared" ca="1" si="24"/>
        <v>0</v>
      </c>
      <c r="AR32" s="259">
        <v>19</v>
      </c>
      <c r="AS32" s="260" t="str">
        <f t="shared" si="25"/>
        <v>0 0</v>
      </c>
      <c r="AT32" s="261">
        <f ca="1">SUMIF(bogenpreise!$A$2:$A$22,AS32,bogenpreise!$D$2:$D$21)</f>
        <v>0</v>
      </c>
      <c r="AU32" s="262">
        <f t="shared" ca="1" si="3"/>
        <v>0</v>
      </c>
      <c r="AW32" s="256">
        <v>19</v>
      </c>
      <c r="AX32" s="257">
        <f t="shared" si="26"/>
        <v>0</v>
      </c>
      <c r="AY32" s="257">
        <f t="shared" si="27"/>
        <v>0</v>
      </c>
      <c r="AZ32" s="257" t="str">
        <f t="shared" si="28"/>
        <v>0 0</v>
      </c>
      <c r="BA32" s="257"/>
      <c r="BB32" s="258">
        <f ca="1">SUMIF(bogenpreise!$A$2:$A$22,AZ32,bogenpreise!$D$2:$D$21)</f>
        <v>0</v>
      </c>
      <c r="BC32" s="258">
        <f t="shared" ca="1" si="29"/>
        <v>0</v>
      </c>
      <c r="BD32" s="259">
        <v>19</v>
      </c>
      <c r="BE32" s="260" t="str">
        <f t="shared" si="30"/>
        <v>0 0</v>
      </c>
      <c r="BF32" s="261">
        <f ca="1">SUMIF(bogenpreise!$A$2:$A$22,BE32,bogenpreise!$D$2:$D$21)</f>
        <v>0</v>
      </c>
      <c r="BG32" s="262">
        <f t="shared" ca="1" si="4"/>
        <v>0</v>
      </c>
    </row>
    <row r="33" spans="1:59" ht="17.25" customHeight="1">
      <c r="A33" s="256">
        <v>20</v>
      </c>
      <c r="B33" s="257">
        <f t="shared" si="5"/>
        <v>0</v>
      </c>
      <c r="C33" s="257">
        <f t="shared" si="6"/>
        <v>0</v>
      </c>
      <c r="D33" s="257" t="str">
        <f t="shared" si="7"/>
        <v>0 0</v>
      </c>
      <c r="E33" s="257"/>
      <c r="F33" s="258">
        <f ca="1">SUMIF(bogenpreise!$A$2:$A$22,D33,bogenpreise!$D$2:$D$21)</f>
        <v>0</v>
      </c>
      <c r="G33" s="258">
        <f t="shared" ca="1" si="8"/>
        <v>0</v>
      </c>
      <c r="H33" s="259">
        <v>20</v>
      </c>
      <c r="I33" s="260" t="str">
        <f t="shared" si="9"/>
        <v>0 0</v>
      </c>
      <c r="J33" s="261">
        <f ca="1">SUMIF(bogenpreise!$A$2:$A$22,I33,bogenpreise!$D$2:$D$21)</f>
        <v>0</v>
      </c>
      <c r="K33" s="262">
        <f t="shared" ca="1" si="10"/>
        <v>0</v>
      </c>
      <c r="M33" s="256">
        <v>20</v>
      </c>
      <c r="N33" s="257">
        <f t="shared" si="11"/>
        <v>0</v>
      </c>
      <c r="O33" s="257">
        <f t="shared" si="12"/>
        <v>0</v>
      </c>
      <c r="P33" s="257" t="str">
        <f t="shared" si="13"/>
        <v>0 0</v>
      </c>
      <c r="Q33" s="257"/>
      <c r="R33" s="258">
        <f ca="1">SUMIF(bogenpreise!$A$2:$A$22,P33,bogenpreise!$D$2:$D$21)</f>
        <v>0</v>
      </c>
      <c r="S33" s="258">
        <f t="shared" ca="1" si="14"/>
        <v>0</v>
      </c>
      <c r="T33" s="259">
        <v>20</v>
      </c>
      <c r="U33" s="260" t="str">
        <f t="shared" si="15"/>
        <v>0 0</v>
      </c>
      <c r="V33" s="261">
        <f ca="1">SUMIF(bogenpreise!$A$2:$A$22,U33,bogenpreise!$D$2:$D$21)</f>
        <v>0</v>
      </c>
      <c r="W33" s="262">
        <f t="shared" ca="1" si="1"/>
        <v>0</v>
      </c>
      <c r="Y33" s="256">
        <v>20</v>
      </c>
      <c r="Z33" s="257">
        <f t="shared" si="16"/>
        <v>0</v>
      </c>
      <c r="AA33" s="257">
        <f t="shared" si="17"/>
        <v>0</v>
      </c>
      <c r="AB33" s="257" t="str">
        <f t="shared" si="18"/>
        <v>0 0</v>
      </c>
      <c r="AC33" s="257"/>
      <c r="AD33" s="258">
        <f ca="1">SUMIF(bogenpreise!$A$2:$A$22,AB33,bogenpreise!$D$2:$D$21)</f>
        <v>0</v>
      </c>
      <c r="AE33" s="258">
        <f t="shared" ca="1" si="19"/>
        <v>0</v>
      </c>
      <c r="AF33" s="259">
        <v>20</v>
      </c>
      <c r="AG33" s="260" t="str">
        <f t="shared" si="20"/>
        <v>0 0</v>
      </c>
      <c r="AH33" s="261">
        <f ca="1">SUMIF(bogenpreise!$A$2:$A$22,AG33,bogenpreise!$D$2:$D$21)</f>
        <v>0</v>
      </c>
      <c r="AI33" s="262">
        <f t="shared" ca="1" si="2"/>
        <v>0</v>
      </c>
      <c r="AK33" s="256">
        <v>20</v>
      </c>
      <c r="AL33" s="257">
        <f t="shared" si="21"/>
        <v>0</v>
      </c>
      <c r="AM33" s="257">
        <f t="shared" si="22"/>
        <v>0</v>
      </c>
      <c r="AN33" s="257" t="str">
        <f t="shared" si="23"/>
        <v>0 0</v>
      </c>
      <c r="AO33" s="257"/>
      <c r="AP33" s="258">
        <f ca="1">SUMIF(bogenpreise!$A$2:$A$22,AN33,bogenpreise!$D$2:$D$21)</f>
        <v>0</v>
      </c>
      <c r="AQ33" s="258">
        <f t="shared" ca="1" si="24"/>
        <v>0</v>
      </c>
      <c r="AR33" s="259">
        <v>20</v>
      </c>
      <c r="AS33" s="260" t="str">
        <f t="shared" si="25"/>
        <v>0 0</v>
      </c>
      <c r="AT33" s="261">
        <f ca="1">SUMIF(bogenpreise!$A$2:$A$22,AS33,bogenpreise!$D$2:$D$21)</f>
        <v>0</v>
      </c>
      <c r="AU33" s="262">
        <f t="shared" ca="1" si="3"/>
        <v>0</v>
      </c>
      <c r="AW33" s="256">
        <v>20</v>
      </c>
      <c r="AX33" s="257">
        <f t="shared" si="26"/>
        <v>0</v>
      </c>
      <c r="AY33" s="257">
        <f t="shared" si="27"/>
        <v>0</v>
      </c>
      <c r="AZ33" s="257" t="str">
        <f t="shared" si="28"/>
        <v>0 0</v>
      </c>
      <c r="BA33" s="257"/>
      <c r="BB33" s="258">
        <f ca="1">SUMIF(bogenpreise!$A$2:$A$22,AZ33,bogenpreise!$D$2:$D$21)</f>
        <v>0</v>
      </c>
      <c r="BC33" s="258">
        <f t="shared" ca="1" si="29"/>
        <v>0</v>
      </c>
      <c r="BD33" s="259">
        <v>20</v>
      </c>
      <c r="BE33" s="260" t="str">
        <f t="shared" si="30"/>
        <v>0 0</v>
      </c>
      <c r="BF33" s="261">
        <f ca="1">SUMIF(bogenpreise!$A$2:$A$22,BE33,bogenpreise!$D$2:$D$21)</f>
        <v>0</v>
      </c>
      <c r="BG33" s="262">
        <f t="shared" ca="1" si="4"/>
        <v>0</v>
      </c>
    </row>
    <row r="34" spans="1:59" ht="17.25" customHeight="1">
      <c r="A34" s="256">
        <v>21</v>
      </c>
      <c r="B34" s="257">
        <f t="shared" si="5"/>
        <v>0</v>
      </c>
      <c r="C34" s="257">
        <f t="shared" si="6"/>
        <v>0</v>
      </c>
      <c r="D34" s="257" t="str">
        <f t="shared" si="7"/>
        <v>0 0</v>
      </c>
      <c r="E34" s="257"/>
      <c r="F34" s="258">
        <f ca="1">SUMIF(bogenpreise!$A$2:$A$22,D34,bogenpreise!$D$2:$D$21)</f>
        <v>0</v>
      </c>
      <c r="G34" s="258">
        <f t="shared" ca="1" si="8"/>
        <v>0</v>
      </c>
      <c r="H34" s="259">
        <v>21</v>
      </c>
      <c r="I34" s="260" t="str">
        <f t="shared" si="9"/>
        <v>0 0</v>
      </c>
      <c r="J34" s="261">
        <f ca="1">SUMIF(bogenpreise!$A$2:$A$22,I34,bogenpreise!$D$2:$D$21)</f>
        <v>0</v>
      </c>
      <c r="K34" s="262">
        <f t="shared" ca="1" si="10"/>
        <v>0</v>
      </c>
      <c r="M34" s="256">
        <v>21</v>
      </c>
      <c r="N34" s="257">
        <f t="shared" si="11"/>
        <v>0</v>
      </c>
      <c r="O34" s="257">
        <f t="shared" si="12"/>
        <v>0</v>
      </c>
      <c r="P34" s="257" t="str">
        <f t="shared" si="13"/>
        <v>0 0</v>
      </c>
      <c r="Q34" s="257"/>
      <c r="R34" s="258">
        <f ca="1">SUMIF(bogenpreise!$A$2:$A$22,P34,bogenpreise!$D$2:$D$21)</f>
        <v>0</v>
      </c>
      <c r="S34" s="258">
        <f t="shared" ca="1" si="14"/>
        <v>0</v>
      </c>
      <c r="T34" s="259">
        <v>21</v>
      </c>
      <c r="U34" s="260" t="str">
        <f t="shared" si="15"/>
        <v>0 0</v>
      </c>
      <c r="V34" s="261">
        <f ca="1">SUMIF(bogenpreise!$A$2:$A$22,U34,bogenpreise!$D$2:$D$21)</f>
        <v>0</v>
      </c>
      <c r="W34" s="262">
        <f t="shared" ca="1" si="1"/>
        <v>0</v>
      </c>
      <c r="Y34" s="256">
        <v>21</v>
      </c>
      <c r="Z34" s="257">
        <f t="shared" si="16"/>
        <v>0</v>
      </c>
      <c r="AA34" s="257">
        <f t="shared" si="17"/>
        <v>0</v>
      </c>
      <c r="AB34" s="257" t="str">
        <f t="shared" si="18"/>
        <v>0 0</v>
      </c>
      <c r="AC34" s="257"/>
      <c r="AD34" s="258">
        <f ca="1">SUMIF(bogenpreise!$A$2:$A$22,AB34,bogenpreise!$D$2:$D$21)</f>
        <v>0</v>
      </c>
      <c r="AE34" s="258">
        <f t="shared" ca="1" si="19"/>
        <v>0</v>
      </c>
      <c r="AF34" s="259">
        <v>21</v>
      </c>
      <c r="AG34" s="260" t="str">
        <f t="shared" si="20"/>
        <v>0 0</v>
      </c>
      <c r="AH34" s="261">
        <f ca="1">SUMIF(bogenpreise!$A$2:$A$22,AG34,bogenpreise!$D$2:$D$21)</f>
        <v>0</v>
      </c>
      <c r="AI34" s="262">
        <f t="shared" ca="1" si="2"/>
        <v>0</v>
      </c>
      <c r="AK34" s="256">
        <v>21</v>
      </c>
      <c r="AL34" s="257">
        <f t="shared" si="21"/>
        <v>0</v>
      </c>
      <c r="AM34" s="257">
        <f t="shared" si="22"/>
        <v>0</v>
      </c>
      <c r="AN34" s="257" t="str">
        <f t="shared" si="23"/>
        <v>0 0</v>
      </c>
      <c r="AO34" s="257"/>
      <c r="AP34" s="258">
        <f ca="1">SUMIF(bogenpreise!$A$2:$A$22,AN34,bogenpreise!$D$2:$D$21)</f>
        <v>0</v>
      </c>
      <c r="AQ34" s="258">
        <f t="shared" ca="1" si="24"/>
        <v>0</v>
      </c>
      <c r="AR34" s="259">
        <v>21</v>
      </c>
      <c r="AS34" s="260" t="str">
        <f t="shared" si="25"/>
        <v>0 0</v>
      </c>
      <c r="AT34" s="261">
        <f ca="1">SUMIF(bogenpreise!$A$2:$A$22,AS34,bogenpreise!$D$2:$D$21)</f>
        <v>0</v>
      </c>
      <c r="AU34" s="262">
        <f t="shared" ca="1" si="3"/>
        <v>0</v>
      </c>
      <c r="AW34" s="256">
        <v>21</v>
      </c>
      <c r="AX34" s="257">
        <f t="shared" si="26"/>
        <v>0</v>
      </c>
      <c r="AY34" s="257">
        <f t="shared" si="27"/>
        <v>0</v>
      </c>
      <c r="AZ34" s="257" t="str">
        <f t="shared" si="28"/>
        <v>0 0</v>
      </c>
      <c r="BA34" s="257"/>
      <c r="BB34" s="258">
        <f ca="1">SUMIF(bogenpreise!$A$2:$A$22,AZ34,bogenpreise!$D$2:$D$21)</f>
        <v>0</v>
      </c>
      <c r="BC34" s="258">
        <f t="shared" ca="1" si="29"/>
        <v>0</v>
      </c>
      <c r="BD34" s="259">
        <v>21</v>
      </c>
      <c r="BE34" s="260" t="str">
        <f t="shared" si="30"/>
        <v>0 0</v>
      </c>
      <c r="BF34" s="261">
        <f ca="1">SUMIF(bogenpreise!$A$2:$A$22,BE34,bogenpreise!$D$2:$D$21)</f>
        <v>0</v>
      </c>
      <c r="BG34" s="262">
        <f t="shared" ca="1" si="4"/>
        <v>0</v>
      </c>
    </row>
    <row r="35" spans="1:59" ht="17.25" customHeight="1">
      <c r="A35" s="256">
        <v>22</v>
      </c>
      <c r="B35" s="257">
        <f t="shared" si="5"/>
        <v>0</v>
      </c>
      <c r="C35" s="257">
        <f t="shared" si="6"/>
        <v>0</v>
      </c>
      <c r="D35" s="257" t="str">
        <f t="shared" si="7"/>
        <v>0 0</v>
      </c>
      <c r="E35" s="257"/>
      <c r="F35" s="258">
        <f ca="1">SUMIF(bogenpreise!$A$2:$A$22,D35,bogenpreise!$D$2:$D$21)</f>
        <v>0</v>
      </c>
      <c r="G35" s="258">
        <f t="shared" ca="1" si="8"/>
        <v>0</v>
      </c>
      <c r="H35" s="259">
        <v>22</v>
      </c>
      <c r="I35" s="260" t="str">
        <f t="shared" si="9"/>
        <v>0 0</v>
      </c>
      <c r="J35" s="261">
        <f ca="1">SUMIF(bogenpreise!$A$2:$A$22,I35,bogenpreise!$D$2:$D$21)</f>
        <v>0</v>
      </c>
      <c r="K35" s="262">
        <f t="shared" ca="1" si="10"/>
        <v>0</v>
      </c>
      <c r="M35" s="256">
        <v>22</v>
      </c>
      <c r="N35" s="257">
        <f t="shared" si="11"/>
        <v>0</v>
      </c>
      <c r="O35" s="257">
        <f t="shared" si="12"/>
        <v>0</v>
      </c>
      <c r="P35" s="257" t="str">
        <f t="shared" si="13"/>
        <v>0 0</v>
      </c>
      <c r="Q35" s="257"/>
      <c r="R35" s="258">
        <f ca="1">SUMIF(bogenpreise!$A$2:$A$22,P35,bogenpreise!$D$2:$D$21)</f>
        <v>0</v>
      </c>
      <c r="S35" s="258">
        <f t="shared" ca="1" si="14"/>
        <v>0</v>
      </c>
      <c r="T35" s="259">
        <v>22</v>
      </c>
      <c r="U35" s="260" t="str">
        <f t="shared" si="15"/>
        <v>0 0</v>
      </c>
      <c r="V35" s="261">
        <f ca="1">SUMIF(bogenpreise!$A$2:$A$22,U35,bogenpreise!$D$2:$D$21)</f>
        <v>0</v>
      </c>
      <c r="W35" s="262">
        <f t="shared" ca="1" si="1"/>
        <v>0</v>
      </c>
      <c r="Y35" s="256">
        <v>22</v>
      </c>
      <c r="Z35" s="257">
        <f t="shared" si="16"/>
        <v>0</v>
      </c>
      <c r="AA35" s="257">
        <f t="shared" si="17"/>
        <v>0</v>
      </c>
      <c r="AB35" s="257" t="str">
        <f t="shared" si="18"/>
        <v>0 0</v>
      </c>
      <c r="AC35" s="257"/>
      <c r="AD35" s="258">
        <f ca="1">SUMIF(bogenpreise!$A$2:$A$22,AB35,bogenpreise!$D$2:$D$21)</f>
        <v>0</v>
      </c>
      <c r="AE35" s="258">
        <f t="shared" ca="1" si="19"/>
        <v>0</v>
      </c>
      <c r="AF35" s="259">
        <v>22</v>
      </c>
      <c r="AG35" s="260" t="str">
        <f t="shared" si="20"/>
        <v>0 0</v>
      </c>
      <c r="AH35" s="261">
        <f ca="1">SUMIF(bogenpreise!$A$2:$A$22,AG35,bogenpreise!$D$2:$D$21)</f>
        <v>0</v>
      </c>
      <c r="AI35" s="262">
        <f t="shared" ca="1" si="2"/>
        <v>0</v>
      </c>
      <c r="AK35" s="256">
        <v>22</v>
      </c>
      <c r="AL35" s="257">
        <f t="shared" si="21"/>
        <v>0</v>
      </c>
      <c r="AM35" s="257">
        <f t="shared" si="22"/>
        <v>0</v>
      </c>
      <c r="AN35" s="257" t="str">
        <f t="shared" si="23"/>
        <v>0 0</v>
      </c>
      <c r="AO35" s="257"/>
      <c r="AP35" s="258">
        <f ca="1">SUMIF(bogenpreise!$A$2:$A$22,AN35,bogenpreise!$D$2:$D$21)</f>
        <v>0</v>
      </c>
      <c r="AQ35" s="258">
        <f t="shared" ca="1" si="24"/>
        <v>0</v>
      </c>
      <c r="AR35" s="259">
        <v>22</v>
      </c>
      <c r="AS35" s="260" t="str">
        <f t="shared" si="25"/>
        <v>0 0</v>
      </c>
      <c r="AT35" s="261">
        <f ca="1">SUMIF(bogenpreise!$A$2:$A$22,AS35,bogenpreise!$D$2:$D$21)</f>
        <v>0</v>
      </c>
      <c r="AU35" s="262">
        <f t="shared" ca="1" si="3"/>
        <v>0</v>
      </c>
      <c r="AW35" s="256">
        <v>22</v>
      </c>
      <c r="AX35" s="257">
        <f t="shared" si="26"/>
        <v>0</v>
      </c>
      <c r="AY35" s="257">
        <f t="shared" si="27"/>
        <v>0</v>
      </c>
      <c r="AZ35" s="257" t="str">
        <f t="shared" si="28"/>
        <v>0 0</v>
      </c>
      <c r="BA35" s="257"/>
      <c r="BB35" s="258">
        <f ca="1">SUMIF(bogenpreise!$A$2:$A$22,AZ35,bogenpreise!$D$2:$D$21)</f>
        <v>0</v>
      </c>
      <c r="BC35" s="258">
        <f t="shared" ca="1" si="29"/>
        <v>0</v>
      </c>
      <c r="BD35" s="259">
        <v>22</v>
      </c>
      <c r="BE35" s="260" t="str">
        <f t="shared" si="30"/>
        <v>0 0</v>
      </c>
      <c r="BF35" s="261">
        <f ca="1">SUMIF(bogenpreise!$A$2:$A$22,BE35,bogenpreise!$D$2:$D$21)</f>
        <v>0</v>
      </c>
      <c r="BG35" s="262">
        <f t="shared" ca="1" si="4"/>
        <v>0</v>
      </c>
    </row>
    <row r="36" spans="1:59" ht="17.25" customHeight="1">
      <c r="A36" s="256">
        <v>23</v>
      </c>
      <c r="B36" s="257">
        <f t="shared" si="5"/>
        <v>0</v>
      </c>
      <c r="C36" s="257">
        <f t="shared" si="6"/>
        <v>0</v>
      </c>
      <c r="D36" s="257" t="str">
        <f t="shared" si="7"/>
        <v>0 0</v>
      </c>
      <c r="E36" s="257"/>
      <c r="F36" s="258">
        <f ca="1">SUMIF(bogenpreise!$A$2:$A$22,D36,bogenpreise!$D$2:$D$21)</f>
        <v>0</v>
      </c>
      <c r="G36" s="258">
        <f t="shared" ca="1" si="8"/>
        <v>0</v>
      </c>
      <c r="H36" s="259">
        <v>23</v>
      </c>
      <c r="I36" s="260" t="str">
        <f t="shared" si="9"/>
        <v>0 0</v>
      </c>
      <c r="J36" s="261">
        <f ca="1">SUMIF(bogenpreise!$A$2:$A$22,I36,bogenpreise!$D$2:$D$21)</f>
        <v>0</v>
      </c>
      <c r="K36" s="262">
        <f t="shared" ca="1" si="10"/>
        <v>0</v>
      </c>
      <c r="M36" s="256">
        <v>23</v>
      </c>
      <c r="N36" s="257">
        <f t="shared" si="11"/>
        <v>0</v>
      </c>
      <c r="O36" s="257">
        <f t="shared" si="12"/>
        <v>0</v>
      </c>
      <c r="P36" s="257" t="str">
        <f t="shared" si="13"/>
        <v>0 0</v>
      </c>
      <c r="Q36" s="257"/>
      <c r="R36" s="258">
        <f ca="1">SUMIF(bogenpreise!$A$2:$A$22,P36,bogenpreise!$D$2:$D$21)</f>
        <v>0</v>
      </c>
      <c r="S36" s="258">
        <f t="shared" ca="1" si="14"/>
        <v>0</v>
      </c>
      <c r="T36" s="259">
        <v>23</v>
      </c>
      <c r="U36" s="260" t="str">
        <f t="shared" si="15"/>
        <v>0 0</v>
      </c>
      <c r="V36" s="261">
        <f ca="1">SUMIF(bogenpreise!$A$2:$A$22,U36,bogenpreise!$D$2:$D$21)</f>
        <v>0</v>
      </c>
      <c r="W36" s="262">
        <f t="shared" ca="1" si="1"/>
        <v>0</v>
      </c>
      <c r="Y36" s="256">
        <v>23</v>
      </c>
      <c r="Z36" s="257">
        <f t="shared" si="16"/>
        <v>0</v>
      </c>
      <c r="AA36" s="257">
        <f t="shared" si="17"/>
        <v>0</v>
      </c>
      <c r="AB36" s="257" t="str">
        <f t="shared" si="18"/>
        <v>0 0</v>
      </c>
      <c r="AC36" s="257"/>
      <c r="AD36" s="258">
        <f ca="1">SUMIF(bogenpreise!$A$2:$A$22,AB36,bogenpreise!$D$2:$D$21)</f>
        <v>0</v>
      </c>
      <c r="AE36" s="258">
        <f t="shared" ca="1" si="19"/>
        <v>0</v>
      </c>
      <c r="AF36" s="259">
        <v>23</v>
      </c>
      <c r="AG36" s="260" t="str">
        <f t="shared" si="20"/>
        <v>0 0</v>
      </c>
      <c r="AH36" s="261">
        <f ca="1">SUMIF(bogenpreise!$A$2:$A$22,AG36,bogenpreise!$D$2:$D$21)</f>
        <v>0</v>
      </c>
      <c r="AI36" s="262">
        <f t="shared" ca="1" si="2"/>
        <v>0</v>
      </c>
      <c r="AK36" s="256">
        <v>23</v>
      </c>
      <c r="AL36" s="257">
        <f t="shared" si="21"/>
        <v>0</v>
      </c>
      <c r="AM36" s="257">
        <f t="shared" si="22"/>
        <v>0</v>
      </c>
      <c r="AN36" s="257" t="str">
        <f t="shared" si="23"/>
        <v>0 0</v>
      </c>
      <c r="AO36" s="257"/>
      <c r="AP36" s="258">
        <f ca="1">SUMIF(bogenpreise!$A$2:$A$22,AN36,bogenpreise!$D$2:$D$21)</f>
        <v>0</v>
      </c>
      <c r="AQ36" s="258">
        <f t="shared" ca="1" si="24"/>
        <v>0</v>
      </c>
      <c r="AR36" s="259">
        <v>23</v>
      </c>
      <c r="AS36" s="260" t="str">
        <f t="shared" si="25"/>
        <v>0 0</v>
      </c>
      <c r="AT36" s="261">
        <f ca="1">SUMIF(bogenpreise!$A$2:$A$22,AS36,bogenpreise!$D$2:$D$21)</f>
        <v>0</v>
      </c>
      <c r="AU36" s="262">
        <f t="shared" ca="1" si="3"/>
        <v>0</v>
      </c>
      <c r="AW36" s="256">
        <v>23</v>
      </c>
      <c r="AX36" s="257">
        <f t="shared" si="26"/>
        <v>0</v>
      </c>
      <c r="AY36" s="257">
        <f t="shared" si="27"/>
        <v>0</v>
      </c>
      <c r="AZ36" s="257" t="str">
        <f t="shared" si="28"/>
        <v>0 0</v>
      </c>
      <c r="BA36" s="257"/>
      <c r="BB36" s="258">
        <f ca="1">SUMIF(bogenpreise!$A$2:$A$22,AZ36,bogenpreise!$D$2:$D$21)</f>
        <v>0</v>
      </c>
      <c r="BC36" s="258">
        <f t="shared" ca="1" si="29"/>
        <v>0</v>
      </c>
      <c r="BD36" s="259">
        <v>23</v>
      </c>
      <c r="BE36" s="260" t="str">
        <f t="shared" si="30"/>
        <v>0 0</v>
      </c>
      <c r="BF36" s="261">
        <f ca="1">SUMIF(bogenpreise!$A$2:$A$22,BE36,bogenpreise!$D$2:$D$21)</f>
        <v>0</v>
      </c>
      <c r="BG36" s="262">
        <f t="shared" ca="1" si="4"/>
        <v>0</v>
      </c>
    </row>
    <row r="37" spans="1:59" ht="17.25" customHeight="1">
      <c r="A37" s="256">
        <v>24</v>
      </c>
      <c r="B37" s="257">
        <f t="shared" si="5"/>
        <v>0</v>
      </c>
      <c r="C37" s="257">
        <f t="shared" si="6"/>
        <v>0</v>
      </c>
      <c r="D37" s="257" t="str">
        <f t="shared" si="7"/>
        <v>0 0</v>
      </c>
      <c r="E37" s="257"/>
      <c r="F37" s="258">
        <f ca="1">SUMIF(bogenpreise!$A$2:$A$22,D37,bogenpreise!$D$2:$D$21)</f>
        <v>0</v>
      </c>
      <c r="G37" s="258">
        <f t="shared" ca="1" si="8"/>
        <v>0</v>
      </c>
      <c r="H37" s="259">
        <v>24</v>
      </c>
      <c r="I37" s="260" t="str">
        <f t="shared" si="9"/>
        <v>0 0</v>
      </c>
      <c r="J37" s="261">
        <f ca="1">SUMIF(bogenpreise!$A$2:$A$22,I37,bogenpreise!$D$2:$D$21)</f>
        <v>0</v>
      </c>
      <c r="K37" s="262">
        <f t="shared" ca="1" si="10"/>
        <v>0</v>
      </c>
      <c r="M37" s="256">
        <v>24</v>
      </c>
      <c r="N37" s="257">
        <f t="shared" si="11"/>
        <v>0</v>
      </c>
      <c r="O37" s="257">
        <f t="shared" si="12"/>
        <v>0</v>
      </c>
      <c r="P37" s="257" t="str">
        <f t="shared" si="13"/>
        <v>0 0</v>
      </c>
      <c r="Q37" s="257"/>
      <c r="R37" s="258">
        <f ca="1">SUMIF(bogenpreise!$A$2:$A$22,P37,bogenpreise!$D$2:$D$21)</f>
        <v>0</v>
      </c>
      <c r="S37" s="258">
        <f t="shared" ca="1" si="14"/>
        <v>0</v>
      </c>
      <c r="T37" s="259">
        <v>24</v>
      </c>
      <c r="U37" s="260" t="str">
        <f t="shared" si="15"/>
        <v>0 0</v>
      </c>
      <c r="V37" s="261">
        <f ca="1">SUMIF(bogenpreise!$A$2:$A$22,U37,bogenpreise!$D$2:$D$21)</f>
        <v>0</v>
      </c>
      <c r="W37" s="262">
        <f t="shared" ca="1" si="1"/>
        <v>0</v>
      </c>
      <c r="Y37" s="256">
        <v>24</v>
      </c>
      <c r="Z37" s="257">
        <f t="shared" si="16"/>
        <v>0</v>
      </c>
      <c r="AA37" s="257">
        <f t="shared" si="17"/>
        <v>0</v>
      </c>
      <c r="AB37" s="257" t="str">
        <f t="shared" si="18"/>
        <v>0 0</v>
      </c>
      <c r="AC37" s="257"/>
      <c r="AD37" s="258">
        <f ca="1">SUMIF(bogenpreise!$A$2:$A$22,AB37,bogenpreise!$D$2:$D$21)</f>
        <v>0</v>
      </c>
      <c r="AE37" s="258">
        <f t="shared" ca="1" si="19"/>
        <v>0</v>
      </c>
      <c r="AF37" s="259">
        <v>24</v>
      </c>
      <c r="AG37" s="260" t="str">
        <f t="shared" si="20"/>
        <v>0 0</v>
      </c>
      <c r="AH37" s="261">
        <f ca="1">SUMIF(bogenpreise!$A$2:$A$22,AG37,bogenpreise!$D$2:$D$21)</f>
        <v>0</v>
      </c>
      <c r="AI37" s="262">
        <f t="shared" ca="1" si="2"/>
        <v>0</v>
      </c>
      <c r="AK37" s="256">
        <v>24</v>
      </c>
      <c r="AL37" s="257">
        <f t="shared" si="21"/>
        <v>0</v>
      </c>
      <c r="AM37" s="257">
        <f t="shared" si="22"/>
        <v>0</v>
      </c>
      <c r="AN37" s="257" t="str">
        <f t="shared" si="23"/>
        <v>0 0</v>
      </c>
      <c r="AO37" s="257"/>
      <c r="AP37" s="258">
        <f ca="1">SUMIF(bogenpreise!$A$2:$A$22,AN37,bogenpreise!$D$2:$D$21)</f>
        <v>0</v>
      </c>
      <c r="AQ37" s="258">
        <f t="shared" ca="1" si="24"/>
        <v>0</v>
      </c>
      <c r="AR37" s="259">
        <v>24</v>
      </c>
      <c r="AS37" s="260" t="str">
        <f t="shared" si="25"/>
        <v>0 0</v>
      </c>
      <c r="AT37" s="261">
        <f ca="1">SUMIF(bogenpreise!$A$2:$A$22,AS37,bogenpreise!$D$2:$D$21)</f>
        <v>0</v>
      </c>
      <c r="AU37" s="262">
        <f t="shared" ca="1" si="3"/>
        <v>0</v>
      </c>
      <c r="AW37" s="256">
        <v>24</v>
      </c>
      <c r="AX37" s="257">
        <f t="shared" si="26"/>
        <v>0</v>
      </c>
      <c r="AY37" s="257">
        <f t="shared" si="27"/>
        <v>0</v>
      </c>
      <c r="AZ37" s="257" t="str">
        <f t="shared" si="28"/>
        <v>0 0</v>
      </c>
      <c r="BA37" s="257"/>
      <c r="BB37" s="258">
        <f ca="1">SUMIF(bogenpreise!$A$2:$A$22,AZ37,bogenpreise!$D$2:$D$21)</f>
        <v>0</v>
      </c>
      <c r="BC37" s="258">
        <f t="shared" ca="1" si="29"/>
        <v>0</v>
      </c>
      <c r="BD37" s="259">
        <v>24</v>
      </c>
      <c r="BE37" s="260" t="str">
        <f t="shared" si="30"/>
        <v>0 0</v>
      </c>
      <c r="BF37" s="261">
        <f ca="1">SUMIF(bogenpreise!$A$2:$A$22,BE37,bogenpreise!$D$2:$D$21)</f>
        <v>0</v>
      </c>
      <c r="BG37" s="262">
        <f t="shared" ca="1" si="4"/>
        <v>0</v>
      </c>
    </row>
    <row r="38" spans="1:59" ht="17.25" customHeight="1">
      <c r="A38" s="256">
        <v>25</v>
      </c>
      <c r="B38" s="257">
        <f t="shared" si="5"/>
        <v>0</v>
      </c>
      <c r="C38" s="257">
        <f t="shared" si="6"/>
        <v>0</v>
      </c>
      <c r="D38" s="257" t="str">
        <f t="shared" si="7"/>
        <v>0 0</v>
      </c>
      <c r="E38" s="257"/>
      <c r="F38" s="258">
        <f ca="1">SUMIF(bogenpreise!$A$2:$A$22,D38,bogenpreise!$D$2:$D$21)</f>
        <v>0</v>
      </c>
      <c r="G38" s="258">
        <f t="shared" ca="1" si="8"/>
        <v>0</v>
      </c>
      <c r="H38" s="259">
        <v>25</v>
      </c>
      <c r="I38" s="260" t="str">
        <f t="shared" si="9"/>
        <v>0 0</v>
      </c>
      <c r="J38" s="261">
        <f ca="1">SUMIF(bogenpreise!$A$2:$A$22,I38,bogenpreise!$D$2:$D$21)</f>
        <v>0</v>
      </c>
      <c r="K38" s="262">
        <f t="shared" ca="1" si="10"/>
        <v>0</v>
      </c>
      <c r="M38" s="256">
        <v>25</v>
      </c>
      <c r="N38" s="257">
        <f t="shared" si="11"/>
        <v>0</v>
      </c>
      <c r="O38" s="257">
        <f t="shared" si="12"/>
        <v>0</v>
      </c>
      <c r="P38" s="257" t="str">
        <f t="shared" si="13"/>
        <v>0 0</v>
      </c>
      <c r="Q38" s="257"/>
      <c r="R38" s="258">
        <f ca="1">SUMIF(bogenpreise!$A$2:$A$22,P38,bogenpreise!$D$2:$D$21)</f>
        <v>0</v>
      </c>
      <c r="S38" s="258">
        <f t="shared" ca="1" si="14"/>
        <v>0</v>
      </c>
      <c r="T38" s="259">
        <v>25</v>
      </c>
      <c r="U38" s="260" t="str">
        <f t="shared" si="15"/>
        <v>0 0</v>
      </c>
      <c r="V38" s="261">
        <f ca="1">SUMIF(bogenpreise!$A$2:$A$22,U38,bogenpreise!$D$2:$D$21)</f>
        <v>0</v>
      </c>
      <c r="W38" s="262">
        <f t="shared" ca="1" si="1"/>
        <v>0</v>
      </c>
      <c r="Y38" s="256">
        <v>25</v>
      </c>
      <c r="Z38" s="257">
        <f t="shared" si="16"/>
        <v>0</v>
      </c>
      <c r="AA38" s="257">
        <f t="shared" si="17"/>
        <v>0</v>
      </c>
      <c r="AB38" s="257" t="str">
        <f t="shared" si="18"/>
        <v>0 0</v>
      </c>
      <c r="AC38" s="257"/>
      <c r="AD38" s="258">
        <f ca="1">SUMIF(bogenpreise!$A$2:$A$22,AB38,bogenpreise!$D$2:$D$21)</f>
        <v>0</v>
      </c>
      <c r="AE38" s="258">
        <f t="shared" ca="1" si="19"/>
        <v>0</v>
      </c>
      <c r="AF38" s="259">
        <v>25</v>
      </c>
      <c r="AG38" s="260" t="str">
        <f t="shared" si="20"/>
        <v>0 0</v>
      </c>
      <c r="AH38" s="261">
        <f ca="1">SUMIF(bogenpreise!$A$2:$A$22,AG38,bogenpreise!$D$2:$D$21)</f>
        <v>0</v>
      </c>
      <c r="AI38" s="262">
        <f t="shared" ca="1" si="2"/>
        <v>0</v>
      </c>
      <c r="AK38" s="256">
        <v>25</v>
      </c>
      <c r="AL38" s="257">
        <f t="shared" si="21"/>
        <v>0</v>
      </c>
      <c r="AM38" s="257">
        <f t="shared" si="22"/>
        <v>0</v>
      </c>
      <c r="AN38" s="257" t="str">
        <f t="shared" si="23"/>
        <v>0 0</v>
      </c>
      <c r="AO38" s="257"/>
      <c r="AP38" s="258">
        <f ca="1">SUMIF(bogenpreise!$A$2:$A$22,AN38,bogenpreise!$D$2:$D$21)</f>
        <v>0</v>
      </c>
      <c r="AQ38" s="258">
        <f t="shared" ca="1" si="24"/>
        <v>0</v>
      </c>
      <c r="AR38" s="259">
        <v>25</v>
      </c>
      <c r="AS38" s="260" t="str">
        <f t="shared" si="25"/>
        <v>0 0</v>
      </c>
      <c r="AT38" s="261">
        <f ca="1">SUMIF(bogenpreise!$A$2:$A$22,AS38,bogenpreise!$D$2:$D$21)</f>
        <v>0</v>
      </c>
      <c r="AU38" s="262">
        <f t="shared" ca="1" si="3"/>
        <v>0</v>
      </c>
      <c r="AW38" s="256">
        <v>25</v>
      </c>
      <c r="AX38" s="257">
        <f t="shared" si="26"/>
        <v>0</v>
      </c>
      <c r="AY38" s="257">
        <f t="shared" si="27"/>
        <v>0</v>
      </c>
      <c r="AZ38" s="257" t="str">
        <f t="shared" si="28"/>
        <v>0 0</v>
      </c>
      <c r="BA38" s="257"/>
      <c r="BB38" s="258">
        <f ca="1">SUMIF(bogenpreise!$A$2:$A$22,AZ38,bogenpreise!$D$2:$D$21)</f>
        <v>0</v>
      </c>
      <c r="BC38" s="258">
        <f t="shared" ca="1" si="29"/>
        <v>0</v>
      </c>
      <c r="BD38" s="259">
        <v>25</v>
      </c>
      <c r="BE38" s="260" t="str">
        <f t="shared" si="30"/>
        <v>0 0</v>
      </c>
      <c r="BF38" s="261">
        <f ca="1">SUMIF(bogenpreise!$A$2:$A$22,BE38,bogenpreise!$D$2:$D$21)</f>
        <v>0</v>
      </c>
      <c r="BG38" s="262">
        <f t="shared" ca="1" si="4"/>
        <v>0</v>
      </c>
    </row>
    <row r="39" spans="1:59" ht="17.25" customHeight="1">
      <c r="A39" s="256">
        <v>26</v>
      </c>
      <c r="B39" s="257">
        <f t="shared" si="5"/>
        <v>0</v>
      </c>
      <c r="C39" s="257">
        <f t="shared" si="6"/>
        <v>0</v>
      </c>
      <c r="D39" s="257" t="str">
        <f t="shared" si="7"/>
        <v>0 0</v>
      </c>
      <c r="E39" s="257"/>
      <c r="F39" s="258">
        <f ca="1">SUMIF(bogenpreise!$A$2:$A$22,D39,bogenpreise!$D$2:$D$21)</f>
        <v>0</v>
      </c>
      <c r="G39" s="258">
        <f t="shared" ca="1" si="8"/>
        <v>0</v>
      </c>
      <c r="H39" s="259">
        <v>26</v>
      </c>
      <c r="I39" s="260" t="str">
        <f t="shared" si="9"/>
        <v>0 0</v>
      </c>
      <c r="J39" s="261">
        <f ca="1">SUMIF(bogenpreise!$A$2:$A$22,I39,bogenpreise!$D$2:$D$21)</f>
        <v>0</v>
      </c>
      <c r="K39" s="262">
        <f t="shared" ca="1" si="10"/>
        <v>0</v>
      </c>
      <c r="M39" s="256">
        <v>26</v>
      </c>
      <c r="N39" s="257">
        <f t="shared" si="11"/>
        <v>0</v>
      </c>
      <c r="O39" s="257">
        <f t="shared" si="12"/>
        <v>0</v>
      </c>
      <c r="P39" s="257" t="str">
        <f t="shared" si="13"/>
        <v>0 0</v>
      </c>
      <c r="Q39" s="257"/>
      <c r="R39" s="258">
        <f ca="1">SUMIF(bogenpreise!$A$2:$A$22,P39,bogenpreise!$D$2:$D$21)</f>
        <v>0</v>
      </c>
      <c r="S39" s="258">
        <f t="shared" ca="1" si="14"/>
        <v>0</v>
      </c>
      <c r="T39" s="259">
        <v>26</v>
      </c>
      <c r="U39" s="260" t="str">
        <f t="shared" si="15"/>
        <v>0 0</v>
      </c>
      <c r="V39" s="261">
        <f ca="1">SUMIF(bogenpreise!$A$2:$A$22,U39,bogenpreise!$D$2:$D$21)</f>
        <v>0</v>
      </c>
      <c r="W39" s="262">
        <f t="shared" ca="1" si="1"/>
        <v>0</v>
      </c>
      <c r="Y39" s="256">
        <v>26</v>
      </c>
      <c r="Z39" s="257">
        <f t="shared" si="16"/>
        <v>0</v>
      </c>
      <c r="AA39" s="257">
        <f t="shared" si="17"/>
        <v>0</v>
      </c>
      <c r="AB39" s="257" t="str">
        <f t="shared" si="18"/>
        <v>0 0</v>
      </c>
      <c r="AC39" s="257"/>
      <c r="AD39" s="258">
        <f ca="1">SUMIF(bogenpreise!$A$2:$A$22,AB39,bogenpreise!$D$2:$D$21)</f>
        <v>0</v>
      </c>
      <c r="AE39" s="258">
        <f t="shared" ca="1" si="19"/>
        <v>0</v>
      </c>
      <c r="AF39" s="259">
        <v>26</v>
      </c>
      <c r="AG39" s="260" t="str">
        <f t="shared" si="20"/>
        <v>0 0</v>
      </c>
      <c r="AH39" s="261">
        <f ca="1">SUMIF(bogenpreise!$A$2:$A$22,AG39,bogenpreise!$D$2:$D$21)</f>
        <v>0</v>
      </c>
      <c r="AI39" s="262">
        <f t="shared" ca="1" si="2"/>
        <v>0</v>
      </c>
      <c r="AK39" s="256">
        <v>26</v>
      </c>
      <c r="AL39" s="257">
        <f t="shared" si="21"/>
        <v>0</v>
      </c>
      <c r="AM39" s="257">
        <f t="shared" si="22"/>
        <v>0</v>
      </c>
      <c r="AN39" s="257" t="str">
        <f t="shared" si="23"/>
        <v>0 0</v>
      </c>
      <c r="AO39" s="257"/>
      <c r="AP39" s="258">
        <f ca="1">SUMIF(bogenpreise!$A$2:$A$22,AN39,bogenpreise!$D$2:$D$21)</f>
        <v>0</v>
      </c>
      <c r="AQ39" s="258">
        <f t="shared" ca="1" si="24"/>
        <v>0</v>
      </c>
      <c r="AR39" s="259">
        <v>26</v>
      </c>
      <c r="AS39" s="260" t="str">
        <f t="shared" si="25"/>
        <v>0 0</v>
      </c>
      <c r="AT39" s="261">
        <f ca="1">SUMIF(bogenpreise!$A$2:$A$22,AS39,bogenpreise!$D$2:$D$21)</f>
        <v>0</v>
      </c>
      <c r="AU39" s="262">
        <f t="shared" ca="1" si="3"/>
        <v>0</v>
      </c>
      <c r="AW39" s="256">
        <v>26</v>
      </c>
      <c r="AX39" s="257">
        <f t="shared" si="26"/>
        <v>0</v>
      </c>
      <c r="AY39" s="257">
        <f t="shared" si="27"/>
        <v>0</v>
      </c>
      <c r="AZ39" s="257" t="str">
        <f t="shared" si="28"/>
        <v>0 0</v>
      </c>
      <c r="BA39" s="257"/>
      <c r="BB39" s="258">
        <f ca="1">SUMIF(bogenpreise!$A$2:$A$22,AZ39,bogenpreise!$D$2:$D$21)</f>
        <v>0</v>
      </c>
      <c r="BC39" s="258">
        <f t="shared" ca="1" si="29"/>
        <v>0</v>
      </c>
      <c r="BD39" s="259">
        <v>26</v>
      </c>
      <c r="BE39" s="260" t="str">
        <f t="shared" si="30"/>
        <v>0 0</v>
      </c>
      <c r="BF39" s="261">
        <f ca="1">SUMIF(bogenpreise!$A$2:$A$22,BE39,bogenpreise!$D$2:$D$21)</f>
        <v>0</v>
      </c>
      <c r="BG39" s="262">
        <f t="shared" ca="1" si="4"/>
        <v>0</v>
      </c>
    </row>
    <row r="40" spans="1:59" ht="17.25" customHeight="1">
      <c r="A40" s="256">
        <v>27</v>
      </c>
      <c r="B40" s="257">
        <f t="shared" si="5"/>
        <v>0</v>
      </c>
      <c r="C40" s="257">
        <f t="shared" si="6"/>
        <v>0</v>
      </c>
      <c r="D40" s="257" t="str">
        <f t="shared" si="7"/>
        <v>0 0</v>
      </c>
      <c r="E40" s="257"/>
      <c r="F40" s="258">
        <f ca="1">SUMIF(bogenpreise!$A$2:$A$22,D40,bogenpreise!$D$2:$D$21)</f>
        <v>0</v>
      </c>
      <c r="G40" s="258">
        <f t="shared" ca="1" si="8"/>
        <v>0</v>
      </c>
      <c r="H40" s="259">
        <v>27</v>
      </c>
      <c r="I40" s="260" t="str">
        <f t="shared" si="9"/>
        <v>0 0</v>
      </c>
      <c r="J40" s="261">
        <f ca="1">SUMIF(bogenpreise!$A$2:$A$22,I40,bogenpreise!$D$2:$D$21)</f>
        <v>0</v>
      </c>
      <c r="K40" s="262">
        <f t="shared" ca="1" si="10"/>
        <v>0</v>
      </c>
      <c r="M40" s="256">
        <v>27</v>
      </c>
      <c r="N40" s="257">
        <f t="shared" si="11"/>
        <v>0</v>
      </c>
      <c r="O40" s="257">
        <f t="shared" si="12"/>
        <v>0</v>
      </c>
      <c r="P40" s="257" t="str">
        <f t="shared" si="13"/>
        <v>0 0</v>
      </c>
      <c r="Q40" s="257"/>
      <c r="R40" s="258">
        <f ca="1">SUMIF(bogenpreise!$A$2:$A$22,P40,bogenpreise!$D$2:$D$21)</f>
        <v>0</v>
      </c>
      <c r="S40" s="258">
        <f t="shared" ca="1" si="14"/>
        <v>0</v>
      </c>
      <c r="T40" s="259">
        <v>27</v>
      </c>
      <c r="U40" s="260" t="str">
        <f t="shared" si="15"/>
        <v>0 0</v>
      </c>
      <c r="V40" s="261">
        <f ca="1">SUMIF(bogenpreise!$A$2:$A$22,U40,bogenpreise!$D$2:$D$21)</f>
        <v>0</v>
      </c>
      <c r="W40" s="262">
        <f t="shared" ca="1" si="1"/>
        <v>0</v>
      </c>
      <c r="Y40" s="256">
        <v>27</v>
      </c>
      <c r="Z40" s="257">
        <f t="shared" si="16"/>
        <v>0</v>
      </c>
      <c r="AA40" s="257">
        <f t="shared" si="17"/>
        <v>0</v>
      </c>
      <c r="AB40" s="257" t="str">
        <f t="shared" si="18"/>
        <v>0 0</v>
      </c>
      <c r="AC40" s="257"/>
      <c r="AD40" s="258">
        <f ca="1">SUMIF(bogenpreise!$A$2:$A$22,AB40,bogenpreise!$D$2:$D$21)</f>
        <v>0</v>
      </c>
      <c r="AE40" s="258">
        <f t="shared" ca="1" si="19"/>
        <v>0</v>
      </c>
      <c r="AF40" s="259">
        <v>27</v>
      </c>
      <c r="AG40" s="260" t="str">
        <f t="shared" si="20"/>
        <v>0 0</v>
      </c>
      <c r="AH40" s="261">
        <f ca="1">SUMIF(bogenpreise!$A$2:$A$22,AG40,bogenpreise!$D$2:$D$21)</f>
        <v>0</v>
      </c>
      <c r="AI40" s="262">
        <f t="shared" ca="1" si="2"/>
        <v>0</v>
      </c>
      <c r="AK40" s="256">
        <v>27</v>
      </c>
      <c r="AL40" s="257">
        <f t="shared" si="21"/>
        <v>0</v>
      </c>
      <c r="AM40" s="257">
        <f t="shared" si="22"/>
        <v>0</v>
      </c>
      <c r="AN40" s="257" t="str">
        <f t="shared" si="23"/>
        <v>0 0</v>
      </c>
      <c r="AO40" s="257"/>
      <c r="AP40" s="258">
        <f ca="1">SUMIF(bogenpreise!$A$2:$A$22,AN40,bogenpreise!$D$2:$D$21)</f>
        <v>0</v>
      </c>
      <c r="AQ40" s="258">
        <f t="shared" ca="1" si="24"/>
        <v>0</v>
      </c>
      <c r="AR40" s="259">
        <v>27</v>
      </c>
      <c r="AS40" s="260" t="str">
        <f t="shared" si="25"/>
        <v>0 0</v>
      </c>
      <c r="AT40" s="261">
        <f ca="1">SUMIF(bogenpreise!$A$2:$A$22,AS40,bogenpreise!$D$2:$D$21)</f>
        <v>0</v>
      </c>
      <c r="AU40" s="262">
        <f t="shared" ca="1" si="3"/>
        <v>0</v>
      </c>
      <c r="AW40" s="256">
        <v>27</v>
      </c>
      <c r="AX40" s="257">
        <f t="shared" si="26"/>
        <v>0</v>
      </c>
      <c r="AY40" s="257">
        <f t="shared" si="27"/>
        <v>0</v>
      </c>
      <c r="AZ40" s="257" t="str">
        <f t="shared" si="28"/>
        <v>0 0</v>
      </c>
      <c r="BA40" s="257"/>
      <c r="BB40" s="258">
        <f ca="1">SUMIF(bogenpreise!$A$2:$A$22,AZ40,bogenpreise!$D$2:$D$21)</f>
        <v>0</v>
      </c>
      <c r="BC40" s="258">
        <f t="shared" ca="1" si="29"/>
        <v>0</v>
      </c>
      <c r="BD40" s="259">
        <v>27</v>
      </c>
      <c r="BE40" s="260" t="str">
        <f t="shared" si="30"/>
        <v>0 0</v>
      </c>
      <c r="BF40" s="261">
        <f ca="1">SUMIF(bogenpreise!$A$2:$A$22,BE40,bogenpreise!$D$2:$D$21)</f>
        <v>0</v>
      </c>
      <c r="BG40" s="262">
        <f t="shared" ca="1" si="4"/>
        <v>0</v>
      </c>
    </row>
    <row r="41" spans="1:59" ht="17.25" customHeight="1">
      <c r="A41" s="256">
        <v>28</v>
      </c>
      <c r="B41" s="257">
        <f t="shared" si="5"/>
        <v>0</v>
      </c>
      <c r="C41" s="257">
        <f t="shared" si="6"/>
        <v>0</v>
      </c>
      <c r="D41" s="257" t="str">
        <f t="shared" si="7"/>
        <v>0 0</v>
      </c>
      <c r="E41" s="257"/>
      <c r="F41" s="258">
        <f ca="1">SUMIF(bogenpreise!$A$2:$A$22,D41,bogenpreise!$D$2:$D$21)</f>
        <v>0</v>
      </c>
      <c r="G41" s="258">
        <f t="shared" ca="1" si="8"/>
        <v>0</v>
      </c>
      <c r="H41" s="259">
        <v>28</v>
      </c>
      <c r="I41" s="260" t="str">
        <f t="shared" si="9"/>
        <v>0 0</v>
      </c>
      <c r="J41" s="261">
        <f ca="1">SUMIF(bogenpreise!$A$2:$A$22,I41,bogenpreise!$D$2:$D$21)</f>
        <v>0</v>
      </c>
      <c r="K41" s="262">
        <f t="shared" ca="1" si="10"/>
        <v>0</v>
      </c>
      <c r="M41" s="256">
        <v>28</v>
      </c>
      <c r="N41" s="257">
        <f t="shared" si="11"/>
        <v>0</v>
      </c>
      <c r="O41" s="257">
        <f t="shared" si="12"/>
        <v>0</v>
      </c>
      <c r="P41" s="257" t="str">
        <f t="shared" si="13"/>
        <v>0 0</v>
      </c>
      <c r="Q41" s="257"/>
      <c r="R41" s="258">
        <f ca="1">SUMIF(bogenpreise!$A$2:$A$22,P41,bogenpreise!$D$2:$D$21)</f>
        <v>0</v>
      </c>
      <c r="S41" s="258">
        <f t="shared" ca="1" si="14"/>
        <v>0</v>
      </c>
      <c r="T41" s="259">
        <v>28</v>
      </c>
      <c r="U41" s="260" t="str">
        <f t="shared" si="15"/>
        <v>0 0</v>
      </c>
      <c r="V41" s="261">
        <f ca="1">SUMIF(bogenpreise!$A$2:$A$22,U41,bogenpreise!$D$2:$D$21)</f>
        <v>0</v>
      </c>
      <c r="W41" s="262">
        <f t="shared" ca="1" si="1"/>
        <v>0</v>
      </c>
      <c r="Y41" s="256">
        <v>28</v>
      </c>
      <c r="Z41" s="257">
        <f t="shared" si="16"/>
        <v>0</v>
      </c>
      <c r="AA41" s="257">
        <f t="shared" si="17"/>
        <v>0</v>
      </c>
      <c r="AB41" s="257" t="str">
        <f t="shared" si="18"/>
        <v>0 0</v>
      </c>
      <c r="AC41" s="257"/>
      <c r="AD41" s="258">
        <f ca="1">SUMIF(bogenpreise!$A$2:$A$22,AB41,bogenpreise!$D$2:$D$21)</f>
        <v>0</v>
      </c>
      <c r="AE41" s="258">
        <f t="shared" ca="1" si="19"/>
        <v>0</v>
      </c>
      <c r="AF41" s="259">
        <v>28</v>
      </c>
      <c r="AG41" s="260" t="str">
        <f t="shared" si="20"/>
        <v>0 0</v>
      </c>
      <c r="AH41" s="261">
        <f ca="1">SUMIF(bogenpreise!$A$2:$A$22,AG41,bogenpreise!$D$2:$D$21)</f>
        <v>0</v>
      </c>
      <c r="AI41" s="262">
        <f t="shared" ca="1" si="2"/>
        <v>0</v>
      </c>
      <c r="AK41" s="256">
        <v>28</v>
      </c>
      <c r="AL41" s="257">
        <f t="shared" si="21"/>
        <v>0</v>
      </c>
      <c r="AM41" s="257">
        <f t="shared" si="22"/>
        <v>0</v>
      </c>
      <c r="AN41" s="257" t="str">
        <f t="shared" si="23"/>
        <v>0 0</v>
      </c>
      <c r="AO41" s="257"/>
      <c r="AP41" s="258">
        <f ca="1">SUMIF(bogenpreise!$A$2:$A$22,AN41,bogenpreise!$D$2:$D$21)</f>
        <v>0</v>
      </c>
      <c r="AQ41" s="258">
        <f t="shared" ca="1" si="24"/>
        <v>0</v>
      </c>
      <c r="AR41" s="259">
        <v>28</v>
      </c>
      <c r="AS41" s="260" t="str">
        <f t="shared" si="25"/>
        <v>0 0</v>
      </c>
      <c r="AT41" s="261">
        <f ca="1">SUMIF(bogenpreise!$A$2:$A$22,AS41,bogenpreise!$D$2:$D$21)</f>
        <v>0</v>
      </c>
      <c r="AU41" s="262">
        <f t="shared" ca="1" si="3"/>
        <v>0</v>
      </c>
      <c r="AW41" s="256">
        <v>28</v>
      </c>
      <c r="AX41" s="257">
        <f t="shared" si="26"/>
        <v>0</v>
      </c>
      <c r="AY41" s="257">
        <f t="shared" si="27"/>
        <v>0</v>
      </c>
      <c r="AZ41" s="257" t="str">
        <f t="shared" si="28"/>
        <v>0 0</v>
      </c>
      <c r="BA41" s="257"/>
      <c r="BB41" s="258">
        <f ca="1">SUMIF(bogenpreise!$A$2:$A$22,AZ41,bogenpreise!$D$2:$D$21)</f>
        <v>0</v>
      </c>
      <c r="BC41" s="258">
        <f t="shared" ca="1" si="29"/>
        <v>0</v>
      </c>
      <c r="BD41" s="259">
        <v>28</v>
      </c>
      <c r="BE41" s="260" t="str">
        <f t="shared" si="30"/>
        <v>0 0</v>
      </c>
      <c r="BF41" s="261">
        <f ca="1">SUMIF(bogenpreise!$A$2:$A$22,BE41,bogenpreise!$D$2:$D$21)</f>
        <v>0</v>
      </c>
      <c r="BG41" s="262">
        <f t="shared" ca="1" si="4"/>
        <v>0</v>
      </c>
    </row>
    <row r="42" spans="1:59" ht="17.25" customHeight="1">
      <c r="A42" s="256">
        <v>29</v>
      </c>
      <c r="B42" s="257">
        <f t="shared" si="5"/>
        <v>0</v>
      </c>
      <c r="C42" s="257">
        <f t="shared" si="6"/>
        <v>0</v>
      </c>
      <c r="D42" s="257" t="str">
        <f t="shared" si="7"/>
        <v>0 0</v>
      </c>
      <c r="E42" s="257"/>
      <c r="F42" s="258">
        <f ca="1">SUMIF(bogenpreise!$A$2:$A$22,D42,bogenpreise!$D$2:$D$21)</f>
        <v>0</v>
      </c>
      <c r="G42" s="258">
        <f t="shared" ca="1" si="8"/>
        <v>0</v>
      </c>
      <c r="H42" s="259">
        <v>29</v>
      </c>
      <c r="I42" s="260" t="str">
        <f t="shared" si="9"/>
        <v>0 0</v>
      </c>
      <c r="J42" s="261">
        <f ca="1">SUMIF(bogenpreise!$A$2:$A$22,I42,bogenpreise!$D$2:$D$21)</f>
        <v>0</v>
      </c>
      <c r="K42" s="262">
        <f t="shared" ca="1" si="10"/>
        <v>0</v>
      </c>
      <c r="M42" s="256">
        <v>29</v>
      </c>
      <c r="N42" s="257">
        <f t="shared" si="11"/>
        <v>0</v>
      </c>
      <c r="O42" s="257">
        <f t="shared" si="12"/>
        <v>0</v>
      </c>
      <c r="P42" s="257" t="str">
        <f t="shared" si="13"/>
        <v>0 0</v>
      </c>
      <c r="Q42" s="257"/>
      <c r="R42" s="258">
        <f ca="1">SUMIF(bogenpreise!$A$2:$A$22,P42,bogenpreise!$D$2:$D$21)</f>
        <v>0</v>
      </c>
      <c r="S42" s="258">
        <f t="shared" ca="1" si="14"/>
        <v>0</v>
      </c>
      <c r="T42" s="259">
        <v>29</v>
      </c>
      <c r="U42" s="260" t="str">
        <f t="shared" si="15"/>
        <v>0 0</v>
      </c>
      <c r="V42" s="261">
        <f ca="1">SUMIF(bogenpreise!$A$2:$A$22,U42,bogenpreise!$D$2:$D$21)</f>
        <v>0</v>
      </c>
      <c r="W42" s="262">
        <f t="shared" ca="1" si="1"/>
        <v>0</v>
      </c>
      <c r="Y42" s="256">
        <v>29</v>
      </c>
      <c r="Z42" s="257">
        <f t="shared" si="16"/>
        <v>0</v>
      </c>
      <c r="AA42" s="257">
        <f t="shared" si="17"/>
        <v>0</v>
      </c>
      <c r="AB42" s="257" t="str">
        <f t="shared" si="18"/>
        <v>0 0</v>
      </c>
      <c r="AC42" s="257"/>
      <c r="AD42" s="258">
        <f ca="1">SUMIF(bogenpreise!$A$2:$A$22,AB42,bogenpreise!$D$2:$D$21)</f>
        <v>0</v>
      </c>
      <c r="AE42" s="258">
        <f t="shared" ca="1" si="19"/>
        <v>0</v>
      </c>
      <c r="AF42" s="259">
        <v>29</v>
      </c>
      <c r="AG42" s="260" t="str">
        <f t="shared" si="20"/>
        <v>0 0</v>
      </c>
      <c r="AH42" s="261">
        <f ca="1">SUMIF(bogenpreise!$A$2:$A$22,AG42,bogenpreise!$D$2:$D$21)</f>
        <v>0</v>
      </c>
      <c r="AI42" s="262">
        <f t="shared" ca="1" si="2"/>
        <v>0</v>
      </c>
      <c r="AK42" s="256">
        <v>29</v>
      </c>
      <c r="AL42" s="257">
        <f t="shared" si="21"/>
        <v>0</v>
      </c>
      <c r="AM42" s="257">
        <f t="shared" si="22"/>
        <v>0</v>
      </c>
      <c r="AN42" s="257" t="str">
        <f t="shared" si="23"/>
        <v>0 0</v>
      </c>
      <c r="AO42" s="257"/>
      <c r="AP42" s="258">
        <f ca="1">SUMIF(bogenpreise!$A$2:$A$22,AN42,bogenpreise!$D$2:$D$21)</f>
        <v>0</v>
      </c>
      <c r="AQ42" s="258">
        <f t="shared" ca="1" si="24"/>
        <v>0</v>
      </c>
      <c r="AR42" s="259">
        <v>29</v>
      </c>
      <c r="AS42" s="260" t="str">
        <f t="shared" si="25"/>
        <v>0 0</v>
      </c>
      <c r="AT42" s="261">
        <f ca="1">SUMIF(bogenpreise!$A$2:$A$22,AS42,bogenpreise!$D$2:$D$21)</f>
        <v>0</v>
      </c>
      <c r="AU42" s="262">
        <f t="shared" ca="1" si="3"/>
        <v>0</v>
      </c>
      <c r="AW42" s="256">
        <v>29</v>
      </c>
      <c r="AX42" s="257">
        <f t="shared" si="26"/>
        <v>0</v>
      </c>
      <c r="AY42" s="257">
        <f t="shared" si="27"/>
        <v>0</v>
      </c>
      <c r="AZ42" s="257" t="str">
        <f t="shared" si="28"/>
        <v>0 0</v>
      </c>
      <c r="BA42" s="257"/>
      <c r="BB42" s="258">
        <f ca="1">SUMIF(bogenpreise!$A$2:$A$22,AZ42,bogenpreise!$D$2:$D$21)</f>
        <v>0</v>
      </c>
      <c r="BC42" s="258">
        <f t="shared" ca="1" si="29"/>
        <v>0</v>
      </c>
      <c r="BD42" s="259">
        <v>29</v>
      </c>
      <c r="BE42" s="260" t="str">
        <f t="shared" si="30"/>
        <v>0 0</v>
      </c>
      <c r="BF42" s="261">
        <f ca="1">SUMIF(bogenpreise!$A$2:$A$22,BE42,bogenpreise!$D$2:$D$21)</f>
        <v>0</v>
      </c>
      <c r="BG42" s="262">
        <f t="shared" ca="1" si="4"/>
        <v>0</v>
      </c>
    </row>
    <row r="43" spans="1:59" ht="17.25" customHeight="1">
      <c r="A43" s="256">
        <v>30</v>
      </c>
      <c r="B43" s="257">
        <f t="shared" si="5"/>
        <v>0</v>
      </c>
      <c r="C43" s="257">
        <f t="shared" si="6"/>
        <v>0</v>
      </c>
      <c r="D43" s="257" t="str">
        <f t="shared" si="7"/>
        <v>0 0</v>
      </c>
      <c r="E43" s="257"/>
      <c r="F43" s="258">
        <f ca="1">SUMIF(bogenpreise!$A$2:$A$22,D43,bogenpreise!$D$2:$D$21)</f>
        <v>0</v>
      </c>
      <c r="G43" s="258">
        <f t="shared" ca="1" si="8"/>
        <v>0</v>
      </c>
      <c r="H43" s="259">
        <v>30</v>
      </c>
      <c r="I43" s="260" t="str">
        <f t="shared" si="9"/>
        <v>0 0</v>
      </c>
      <c r="J43" s="261">
        <f ca="1">SUMIF(bogenpreise!$A$2:$A$22,I43,bogenpreise!$D$2:$D$21)</f>
        <v>0</v>
      </c>
      <c r="K43" s="262">
        <f t="shared" ca="1" si="10"/>
        <v>0</v>
      </c>
      <c r="M43" s="256">
        <v>30</v>
      </c>
      <c r="N43" s="257">
        <f t="shared" si="11"/>
        <v>0</v>
      </c>
      <c r="O43" s="257">
        <f t="shared" si="12"/>
        <v>0</v>
      </c>
      <c r="P43" s="257" t="str">
        <f t="shared" si="13"/>
        <v>0 0</v>
      </c>
      <c r="Q43" s="257"/>
      <c r="R43" s="258">
        <f ca="1">SUMIF(bogenpreise!$A$2:$A$22,P43,bogenpreise!$D$2:$D$21)</f>
        <v>0</v>
      </c>
      <c r="S43" s="258">
        <f t="shared" ca="1" si="14"/>
        <v>0</v>
      </c>
      <c r="T43" s="259">
        <v>30</v>
      </c>
      <c r="U43" s="260" t="str">
        <f t="shared" si="15"/>
        <v>0 0</v>
      </c>
      <c r="V43" s="261">
        <f ca="1">SUMIF(bogenpreise!$A$2:$A$22,U43,bogenpreise!$D$2:$D$21)</f>
        <v>0</v>
      </c>
      <c r="W43" s="262">
        <f t="shared" ca="1" si="1"/>
        <v>0</v>
      </c>
      <c r="Y43" s="256">
        <v>30</v>
      </c>
      <c r="Z43" s="257">
        <f t="shared" si="16"/>
        <v>0</v>
      </c>
      <c r="AA43" s="257">
        <f t="shared" si="17"/>
        <v>0</v>
      </c>
      <c r="AB43" s="257" t="str">
        <f t="shared" si="18"/>
        <v>0 0</v>
      </c>
      <c r="AC43" s="257"/>
      <c r="AD43" s="258">
        <f ca="1">SUMIF(bogenpreise!$A$2:$A$22,AB43,bogenpreise!$D$2:$D$21)</f>
        <v>0</v>
      </c>
      <c r="AE43" s="258">
        <f t="shared" ca="1" si="19"/>
        <v>0</v>
      </c>
      <c r="AF43" s="259">
        <v>30</v>
      </c>
      <c r="AG43" s="260" t="str">
        <f t="shared" si="20"/>
        <v>0 0</v>
      </c>
      <c r="AH43" s="261">
        <f ca="1">SUMIF(bogenpreise!$A$2:$A$22,AG43,bogenpreise!$D$2:$D$21)</f>
        <v>0</v>
      </c>
      <c r="AI43" s="262">
        <f t="shared" ca="1" si="2"/>
        <v>0</v>
      </c>
      <c r="AK43" s="256">
        <v>30</v>
      </c>
      <c r="AL43" s="257">
        <f t="shared" si="21"/>
        <v>0</v>
      </c>
      <c r="AM43" s="257">
        <f t="shared" si="22"/>
        <v>0</v>
      </c>
      <c r="AN43" s="257" t="str">
        <f t="shared" si="23"/>
        <v>0 0</v>
      </c>
      <c r="AO43" s="257"/>
      <c r="AP43" s="258">
        <f ca="1">SUMIF(bogenpreise!$A$2:$A$22,AN43,bogenpreise!$D$2:$D$21)</f>
        <v>0</v>
      </c>
      <c r="AQ43" s="258">
        <f t="shared" ca="1" si="24"/>
        <v>0</v>
      </c>
      <c r="AR43" s="259">
        <v>30</v>
      </c>
      <c r="AS43" s="260" t="str">
        <f t="shared" si="25"/>
        <v>0 0</v>
      </c>
      <c r="AT43" s="261">
        <f ca="1">SUMIF(bogenpreise!$A$2:$A$22,AS43,bogenpreise!$D$2:$D$21)</f>
        <v>0</v>
      </c>
      <c r="AU43" s="262">
        <f t="shared" ca="1" si="3"/>
        <v>0</v>
      </c>
      <c r="AW43" s="256">
        <v>30</v>
      </c>
      <c r="AX43" s="257">
        <f t="shared" si="26"/>
        <v>0</v>
      </c>
      <c r="AY43" s="257">
        <f t="shared" si="27"/>
        <v>0</v>
      </c>
      <c r="AZ43" s="257" t="str">
        <f t="shared" si="28"/>
        <v>0 0</v>
      </c>
      <c r="BA43" s="257"/>
      <c r="BB43" s="258">
        <f ca="1">SUMIF(bogenpreise!$A$2:$A$22,AZ43,bogenpreise!$D$2:$D$21)</f>
        <v>0</v>
      </c>
      <c r="BC43" s="258">
        <f t="shared" ca="1" si="29"/>
        <v>0</v>
      </c>
      <c r="BD43" s="259">
        <v>30</v>
      </c>
      <c r="BE43" s="260" t="str">
        <f t="shared" si="30"/>
        <v>0 0</v>
      </c>
      <c r="BF43" s="261">
        <f ca="1">SUMIF(bogenpreise!$A$2:$A$22,BE43,bogenpreise!$D$2:$D$21)</f>
        <v>0</v>
      </c>
      <c r="BG43" s="262">
        <f t="shared" ca="1" si="4"/>
        <v>0</v>
      </c>
    </row>
    <row r="44" spans="1:59" ht="17.25" customHeight="1">
      <c r="A44" s="256">
        <v>31</v>
      </c>
      <c r="B44" s="257">
        <f t="shared" si="5"/>
        <v>0</v>
      </c>
      <c r="C44" s="257">
        <f t="shared" si="6"/>
        <v>0</v>
      </c>
      <c r="D44" s="257" t="str">
        <f t="shared" si="7"/>
        <v>0 0</v>
      </c>
      <c r="E44" s="257"/>
      <c r="F44" s="258">
        <f ca="1">SUMIF(bogenpreise!$A$2:$A$22,D44,bogenpreise!$D$2:$D$21)</f>
        <v>0</v>
      </c>
      <c r="G44" s="258">
        <f t="shared" ca="1" si="8"/>
        <v>0</v>
      </c>
      <c r="H44" s="259">
        <v>31</v>
      </c>
      <c r="I44" s="260" t="str">
        <f t="shared" si="9"/>
        <v>0 0</v>
      </c>
      <c r="J44" s="261">
        <f ca="1">SUMIF(bogenpreise!$A$2:$A$22,I44,bogenpreise!$D$2:$D$21)</f>
        <v>0</v>
      </c>
      <c r="K44" s="262">
        <f t="shared" ca="1" si="10"/>
        <v>0</v>
      </c>
      <c r="M44" s="256">
        <v>31</v>
      </c>
      <c r="N44" s="257">
        <f t="shared" si="11"/>
        <v>0</v>
      </c>
      <c r="O44" s="257">
        <f t="shared" si="12"/>
        <v>0</v>
      </c>
      <c r="P44" s="257" t="str">
        <f t="shared" si="13"/>
        <v>0 0</v>
      </c>
      <c r="Q44" s="257"/>
      <c r="R44" s="258">
        <f ca="1">SUMIF(bogenpreise!$A$2:$A$22,P44,bogenpreise!$D$2:$D$21)</f>
        <v>0</v>
      </c>
      <c r="S44" s="258">
        <f t="shared" ca="1" si="14"/>
        <v>0</v>
      </c>
      <c r="T44" s="259">
        <v>31</v>
      </c>
      <c r="U44" s="260" t="str">
        <f t="shared" si="15"/>
        <v>0 0</v>
      </c>
      <c r="V44" s="261">
        <f ca="1">SUMIF(bogenpreise!$A$2:$A$22,U44,bogenpreise!$D$2:$D$21)</f>
        <v>0</v>
      </c>
      <c r="W44" s="262">
        <f t="shared" ca="1" si="1"/>
        <v>0</v>
      </c>
      <c r="Y44" s="256">
        <v>31</v>
      </c>
      <c r="Z44" s="257">
        <f t="shared" si="16"/>
        <v>0</v>
      </c>
      <c r="AA44" s="257">
        <f t="shared" si="17"/>
        <v>0</v>
      </c>
      <c r="AB44" s="257" t="str">
        <f t="shared" si="18"/>
        <v>0 0</v>
      </c>
      <c r="AC44" s="257"/>
      <c r="AD44" s="258">
        <f ca="1">SUMIF(bogenpreise!$A$2:$A$22,AB44,bogenpreise!$D$2:$D$21)</f>
        <v>0</v>
      </c>
      <c r="AE44" s="258">
        <f t="shared" ca="1" si="19"/>
        <v>0</v>
      </c>
      <c r="AF44" s="259">
        <v>31</v>
      </c>
      <c r="AG44" s="260" t="str">
        <f t="shared" si="20"/>
        <v>0 0</v>
      </c>
      <c r="AH44" s="261">
        <f ca="1">SUMIF(bogenpreise!$A$2:$A$22,AG44,bogenpreise!$D$2:$D$21)</f>
        <v>0</v>
      </c>
      <c r="AI44" s="262">
        <f t="shared" ca="1" si="2"/>
        <v>0</v>
      </c>
      <c r="AK44" s="256">
        <v>31</v>
      </c>
      <c r="AL44" s="257">
        <f t="shared" si="21"/>
        <v>0</v>
      </c>
      <c r="AM44" s="257">
        <f t="shared" si="22"/>
        <v>0</v>
      </c>
      <c r="AN44" s="257" t="str">
        <f t="shared" si="23"/>
        <v>0 0</v>
      </c>
      <c r="AO44" s="257"/>
      <c r="AP44" s="258">
        <f ca="1">SUMIF(bogenpreise!$A$2:$A$22,AN44,bogenpreise!$D$2:$D$21)</f>
        <v>0</v>
      </c>
      <c r="AQ44" s="258">
        <f t="shared" ca="1" si="24"/>
        <v>0</v>
      </c>
      <c r="AR44" s="259">
        <v>31</v>
      </c>
      <c r="AS44" s="260" t="str">
        <f t="shared" si="25"/>
        <v>0 0</v>
      </c>
      <c r="AT44" s="261">
        <f ca="1">SUMIF(bogenpreise!$A$2:$A$22,AS44,bogenpreise!$D$2:$D$21)</f>
        <v>0</v>
      </c>
      <c r="AU44" s="262">
        <f t="shared" ca="1" si="3"/>
        <v>0</v>
      </c>
      <c r="AW44" s="256">
        <v>31</v>
      </c>
      <c r="AX44" s="257">
        <f t="shared" si="26"/>
        <v>0</v>
      </c>
      <c r="AY44" s="257">
        <f t="shared" si="27"/>
        <v>0</v>
      </c>
      <c r="AZ44" s="257" t="str">
        <f t="shared" si="28"/>
        <v>0 0</v>
      </c>
      <c r="BA44" s="257"/>
      <c r="BB44" s="258">
        <f ca="1">SUMIF(bogenpreise!$A$2:$A$22,AZ44,bogenpreise!$D$2:$D$21)</f>
        <v>0</v>
      </c>
      <c r="BC44" s="258">
        <f t="shared" ca="1" si="29"/>
        <v>0</v>
      </c>
      <c r="BD44" s="259">
        <v>31</v>
      </c>
      <c r="BE44" s="260" t="str">
        <f t="shared" si="30"/>
        <v>0 0</v>
      </c>
      <c r="BF44" s="261">
        <f ca="1">SUMIF(bogenpreise!$A$2:$A$22,BE44,bogenpreise!$D$2:$D$21)</f>
        <v>0</v>
      </c>
      <c r="BG44" s="262">
        <f t="shared" ca="1" si="4"/>
        <v>0</v>
      </c>
    </row>
    <row r="45" spans="1:59" ht="17.25" customHeight="1">
      <c r="A45" s="256">
        <v>32</v>
      </c>
      <c r="B45" s="257">
        <f t="shared" si="5"/>
        <v>0</v>
      </c>
      <c r="C45" s="257">
        <f t="shared" si="6"/>
        <v>0</v>
      </c>
      <c r="D45" s="257" t="str">
        <f t="shared" si="7"/>
        <v>0 0</v>
      </c>
      <c r="E45" s="257"/>
      <c r="F45" s="258">
        <f ca="1">SUMIF(bogenpreise!$A$2:$A$22,D45,bogenpreise!$D$2:$D$21)</f>
        <v>0</v>
      </c>
      <c r="G45" s="258">
        <f t="shared" ca="1" si="8"/>
        <v>0</v>
      </c>
      <c r="H45" s="259">
        <v>32</v>
      </c>
      <c r="I45" s="260" t="str">
        <f t="shared" si="9"/>
        <v>0 0</v>
      </c>
      <c r="J45" s="261">
        <f ca="1">SUMIF(bogenpreise!$A$2:$A$22,I45,bogenpreise!$D$2:$D$21)</f>
        <v>0</v>
      </c>
      <c r="K45" s="262">
        <f t="shared" ca="1" si="10"/>
        <v>0</v>
      </c>
      <c r="M45" s="256">
        <v>32</v>
      </c>
      <c r="N45" s="257">
        <f t="shared" si="11"/>
        <v>0</v>
      </c>
      <c r="O45" s="257">
        <f t="shared" si="12"/>
        <v>0</v>
      </c>
      <c r="P45" s="257" t="str">
        <f t="shared" si="13"/>
        <v>0 0</v>
      </c>
      <c r="Q45" s="257"/>
      <c r="R45" s="258">
        <f ca="1">SUMIF(bogenpreise!$A$2:$A$22,P45,bogenpreise!$D$2:$D$21)</f>
        <v>0</v>
      </c>
      <c r="S45" s="258">
        <f t="shared" ca="1" si="14"/>
        <v>0</v>
      </c>
      <c r="T45" s="259">
        <v>32</v>
      </c>
      <c r="U45" s="260" t="str">
        <f t="shared" si="15"/>
        <v>0 0</v>
      </c>
      <c r="V45" s="261">
        <f ca="1">SUMIF(bogenpreise!$A$2:$A$22,U45,bogenpreise!$D$2:$D$21)</f>
        <v>0</v>
      </c>
      <c r="W45" s="262">
        <f t="shared" ca="1" si="1"/>
        <v>0</v>
      </c>
      <c r="Y45" s="256">
        <v>32</v>
      </c>
      <c r="Z45" s="257">
        <f t="shared" si="16"/>
        <v>0</v>
      </c>
      <c r="AA45" s="257">
        <f t="shared" si="17"/>
        <v>0</v>
      </c>
      <c r="AB45" s="257" t="str">
        <f t="shared" si="18"/>
        <v>0 0</v>
      </c>
      <c r="AC45" s="257"/>
      <c r="AD45" s="258">
        <f ca="1">SUMIF(bogenpreise!$A$2:$A$22,AB45,bogenpreise!$D$2:$D$21)</f>
        <v>0</v>
      </c>
      <c r="AE45" s="258">
        <f t="shared" ca="1" si="19"/>
        <v>0</v>
      </c>
      <c r="AF45" s="259">
        <v>32</v>
      </c>
      <c r="AG45" s="260" t="str">
        <f t="shared" si="20"/>
        <v>0 0</v>
      </c>
      <c r="AH45" s="261">
        <f ca="1">SUMIF(bogenpreise!$A$2:$A$22,AG45,bogenpreise!$D$2:$D$21)</f>
        <v>0</v>
      </c>
      <c r="AI45" s="262">
        <f t="shared" ca="1" si="2"/>
        <v>0</v>
      </c>
      <c r="AK45" s="256">
        <v>32</v>
      </c>
      <c r="AL45" s="257">
        <f t="shared" si="21"/>
        <v>0</v>
      </c>
      <c r="AM45" s="257">
        <f t="shared" si="22"/>
        <v>0</v>
      </c>
      <c r="AN45" s="257" t="str">
        <f t="shared" si="23"/>
        <v>0 0</v>
      </c>
      <c r="AO45" s="257"/>
      <c r="AP45" s="258">
        <f ca="1">SUMIF(bogenpreise!$A$2:$A$22,AN45,bogenpreise!$D$2:$D$21)</f>
        <v>0</v>
      </c>
      <c r="AQ45" s="258">
        <f t="shared" ca="1" si="24"/>
        <v>0</v>
      </c>
      <c r="AR45" s="259">
        <v>32</v>
      </c>
      <c r="AS45" s="260" t="str">
        <f t="shared" si="25"/>
        <v>0 0</v>
      </c>
      <c r="AT45" s="261">
        <f ca="1">SUMIF(bogenpreise!$A$2:$A$22,AS45,bogenpreise!$D$2:$D$21)</f>
        <v>0</v>
      </c>
      <c r="AU45" s="262">
        <f t="shared" ca="1" si="3"/>
        <v>0</v>
      </c>
      <c r="AW45" s="256">
        <v>32</v>
      </c>
      <c r="AX45" s="257">
        <f t="shared" si="26"/>
        <v>0</v>
      </c>
      <c r="AY45" s="257">
        <f t="shared" si="27"/>
        <v>0</v>
      </c>
      <c r="AZ45" s="257" t="str">
        <f t="shared" si="28"/>
        <v>0 0</v>
      </c>
      <c r="BA45" s="257"/>
      <c r="BB45" s="258">
        <f ca="1">SUMIF(bogenpreise!$A$2:$A$22,AZ45,bogenpreise!$D$2:$D$21)</f>
        <v>0</v>
      </c>
      <c r="BC45" s="258">
        <f t="shared" ca="1" si="29"/>
        <v>0</v>
      </c>
      <c r="BD45" s="259">
        <v>32</v>
      </c>
      <c r="BE45" s="260" t="str">
        <f t="shared" si="30"/>
        <v>0 0</v>
      </c>
      <c r="BF45" s="261">
        <f ca="1">SUMIF(bogenpreise!$A$2:$A$22,BE45,bogenpreise!$D$2:$D$21)</f>
        <v>0</v>
      </c>
      <c r="BG45" s="262">
        <f t="shared" ca="1" si="4"/>
        <v>0</v>
      </c>
    </row>
    <row r="46" spans="1:59" ht="17.25" customHeight="1">
      <c r="A46" s="256">
        <v>33</v>
      </c>
      <c r="B46" s="257">
        <f t="shared" si="5"/>
        <v>0</v>
      </c>
      <c r="C46" s="257">
        <f t="shared" si="6"/>
        <v>0</v>
      </c>
      <c r="D46" s="257" t="str">
        <f t="shared" si="7"/>
        <v>0 0</v>
      </c>
      <c r="E46" s="257"/>
      <c r="F46" s="258">
        <f ca="1">SUMIF(bogenpreise!$A$2:$A$22,D46,bogenpreise!$D$2:$D$21)</f>
        <v>0</v>
      </c>
      <c r="G46" s="258">
        <f t="shared" ca="1" si="8"/>
        <v>0</v>
      </c>
      <c r="H46" s="259">
        <v>33</v>
      </c>
      <c r="I46" s="260" t="str">
        <f t="shared" si="9"/>
        <v>0 0</v>
      </c>
      <c r="J46" s="261">
        <f ca="1">SUMIF(bogenpreise!$A$2:$A$22,I46,bogenpreise!$D$2:$D$21)</f>
        <v>0</v>
      </c>
      <c r="K46" s="262">
        <f t="shared" ca="1" si="10"/>
        <v>0</v>
      </c>
      <c r="M46" s="256">
        <v>33</v>
      </c>
      <c r="N46" s="257">
        <f t="shared" si="11"/>
        <v>0</v>
      </c>
      <c r="O46" s="257">
        <f t="shared" si="12"/>
        <v>0</v>
      </c>
      <c r="P46" s="257" t="str">
        <f t="shared" si="13"/>
        <v>0 0</v>
      </c>
      <c r="Q46" s="257"/>
      <c r="R46" s="258">
        <f ca="1">SUMIF(bogenpreise!$A$2:$A$22,P46,bogenpreise!$D$2:$D$21)</f>
        <v>0</v>
      </c>
      <c r="S46" s="258">
        <f t="shared" ca="1" si="14"/>
        <v>0</v>
      </c>
      <c r="T46" s="259">
        <v>33</v>
      </c>
      <c r="U46" s="260" t="str">
        <f t="shared" si="15"/>
        <v>0 0</v>
      </c>
      <c r="V46" s="261">
        <f ca="1">SUMIF(bogenpreise!$A$2:$A$22,U46,bogenpreise!$D$2:$D$21)</f>
        <v>0</v>
      </c>
      <c r="W46" s="262">
        <f t="shared" ca="1" si="1"/>
        <v>0</v>
      </c>
      <c r="Y46" s="256">
        <v>33</v>
      </c>
      <c r="Z46" s="257">
        <f t="shared" si="16"/>
        <v>0</v>
      </c>
      <c r="AA46" s="257">
        <f t="shared" si="17"/>
        <v>0</v>
      </c>
      <c r="AB46" s="257" t="str">
        <f t="shared" si="18"/>
        <v>0 0</v>
      </c>
      <c r="AC46" s="257"/>
      <c r="AD46" s="258">
        <f ca="1">SUMIF(bogenpreise!$A$2:$A$22,AB46,bogenpreise!$D$2:$D$21)</f>
        <v>0</v>
      </c>
      <c r="AE46" s="258">
        <f t="shared" ca="1" si="19"/>
        <v>0</v>
      </c>
      <c r="AF46" s="259">
        <v>33</v>
      </c>
      <c r="AG46" s="260" t="str">
        <f t="shared" si="20"/>
        <v>0 0</v>
      </c>
      <c r="AH46" s="261">
        <f ca="1">SUMIF(bogenpreise!$A$2:$A$22,AG46,bogenpreise!$D$2:$D$21)</f>
        <v>0</v>
      </c>
      <c r="AI46" s="262">
        <f t="shared" ca="1" si="2"/>
        <v>0</v>
      </c>
      <c r="AK46" s="256">
        <v>33</v>
      </c>
      <c r="AL46" s="257">
        <f t="shared" si="21"/>
        <v>0</v>
      </c>
      <c r="AM46" s="257">
        <f t="shared" si="22"/>
        <v>0</v>
      </c>
      <c r="AN46" s="257" t="str">
        <f t="shared" si="23"/>
        <v>0 0</v>
      </c>
      <c r="AO46" s="257"/>
      <c r="AP46" s="258">
        <f ca="1">SUMIF(bogenpreise!$A$2:$A$22,AN46,bogenpreise!$D$2:$D$21)</f>
        <v>0</v>
      </c>
      <c r="AQ46" s="258">
        <f t="shared" ca="1" si="24"/>
        <v>0</v>
      </c>
      <c r="AR46" s="259">
        <v>33</v>
      </c>
      <c r="AS46" s="260" t="str">
        <f t="shared" si="25"/>
        <v>0 0</v>
      </c>
      <c r="AT46" s="261">
        <f ca="1">SUMIF(bogenpreise!$A$2:$A$22,AS46,bogenpreise!$D$2:$D$21)</f>
        <v>0</v>
      </c>
      <c r="AU46" s="262">
        <f t="shared" ca="1" si="3"/>
        <v>0</v>
      </c>
      <c r="AW46" s="256">
        <v>33</v>
      </c>
      <c r="AX46" s="257">
        <f t="shared" si="26"/>
        <v>0</v>
      </c>
      <c r="AY46" s="257">
        <f t="shared" si="27"/>
        <v>0</v>
      </c>
      <c r="AZ46" s="257" t="str">
        <f t="shared" si="28"/>
        <v>0 0</v>
      </c>
      <c r="BA46" s="257"/>
      <c r="BB46" s="258">
        <f ca="1">SUMIF(bogenpreise!$A$2:$A$22,AZ46,bogenpreise!$D$2:$D$21)</f>
        <v>0</v>
      </c>
      <c r="BC46" s="258">
        <f t="shared" ca="1" si="29"/>
        <v>0</v>
      </c>
      <c r="BD46" s="259">
        <v>33</v>
      </c>
      <c r="BE46" s="260" t="str">
        <f t="shared" si="30"/>
        <v>0 0</v>
      </c>
      <c r="BF46" s="261">
        <f ca="1">SUMIF(bogenpreise!$A$2:$A$22,BE46,bogenpreise!$D$2:$D$21)</f>
        <v>0</v>
      </c>
      <c r="BG46" s="262">
        <f t="shared" ca="1" si="4"/>
        <v>0</v>
      </c>
    </row>
    <row r="47" spans="1:59" ht="17.25" customHeight="1">
      <c r="A47" s="256">
        <v>34</v>
      </c>
      <c r="B47" s="257">
        <f t="shared" si="5"/>
        <v>0</v>
      </c>
      <c r="C47" s="257">
        <f t="shared" si="6"/>
        <v>0</v>
      </c>
      <c r="D47" s="257" t="str">
        <f t="shared" si="7"/>
        <v>0 0</v>
      </c>
      <c r="E47" s="257"/>
      <c r="F47" s="258">
        <f ca="1">SUMIF(bogenpreise!$A$2:$A$22,D47,bogenpreise!$D$2:$D$21)</f>
        <v>0</v>
      </c>
      <c r="G47" s="258">
        <f t="shared" ca="1" si="8"/>
        <v>0</v>
      </c>
      <c r="H47" s="259">
        <v>34</v>
      </c>
      <c r="I47" s="260" t="str">
        <f t="shared" si="9"/>
        <v>0 0</v>
      </c>
      <c r="J47" s="261">
        <f ca="1">SUMIF(bogenpreise!$A$2:$A$22,I47,bogenpreise!$D$2:$D$21)</f>
        <v>0</v>
      </c>
      <c r="K47" s="262">
        <f t="shared" ca="1" si="10"/>
        <v>0</v>
      </c>
      <c r="M47" s="256">
        <v>34</v>
      </c>
      <c r="N47" s="257">
        <f t="shared" si="11"/>
        <v>0</v>
      </c>
      <c r="O47" s="257">
        <f t="shared" si="12"/>
        <v>0</v>
      </c>
      <c r="P47" s="257" t="str">
        <f t="shared" si="13"/>
        <v>0 0</v>
      </c>
      <c r="Q47" s="257"/>
      <c r="R47" s="258">
        <f ca="1">SUMIF(bogenpreise!$A$2:$A$22,P47,bogenpreise!$D$2:$D$21)</f>
        <v>0</v>
      </c>
      <c r="S47" s="258">
        <f t="shared" ca="1" si="14"/>
        <v>0</v>
      </c>
      <c r="T47" s="259">
        <v>34</v>
      </c>
      <c r="U47" s="260" t="str">
        <f t="shared" si="15"/>
        <v>0 0</v>
      </c>
      <c r="V47" s="261">
        <f ca="1">SUMIF(bogenpreise!$A$2:$A$22,U47,bogenpreise!$D$2:$D$21)</f>
        <v>0</v>
      </c>
      <c r="W47" s="262">
        <f t="shared" ca="1" si="1"/>
        <v>0</v>
      </c>
      <c r="Y47" s="256">
        <v>34</v>
      </c>
      <c r="Z47" s="257">
        <f t="shared" si="16"/>
        <v>0</v>
      </c>
      <c r="AA47" s="257">
        <f t="shared" si="17"/>
        <v>0</v>
      </c>
      <c r="AB47" s="257" t="str">
        <f t="shared" si="18"/>
        <v>0 0</v>
      </c>
      <c r="AC47" s="257"/>
      <c r="AD47" s="258">
        <f ca="1">SUMIF(bogenpreise!$A$2:$A$22,AB47,bogenpreise!$D$2:$D$21)</f>
        <v>0</v>
      </c>
      <c r="AE47" s="258">
        <f t="shared" ca="1" si="19"/>
        <v>0</v>
      </c>
      <c r="AF47" s="259">
        <v>34</v>
      </c>
      <c r="AG47" s="260" t="str">
        <f t="shared" si="20"/>
        <v>0 0</v>
      </c>
      <c r="AH47" s="261">
        <f ca="1">SUMIF(bogenpreise!$A$2:$A$22,AG47,bogenpreise!$D$2:$D$21)</f>
        <v>0</v>
      </c>
      <c r="AI47" s="262">
        <f t="shared" ca="1" si="2"/>
        <v>0</v>
      </c>
      <c r="AK47" s="256">
        <v>34</v>
      </c>
      <c r="AL47" s="257">
        <f t="shared" si="21"/>
        <v>0</v>
      </c>
      <c r="AM47" s="257">
        <f t="shared" si="22"/>
        <v>0</v>
      </c>
      <c r="AN47" s="257" t="str">
        <f t="shared" si="23"/>
        <v>0 0</v>
      </c>
      <c r="AO47" s="257"/>
      <c r="AP47" s="258">
        <f ca="1">SUMIF(bogenpreise!$A$2:$A$22,AN47,bogenpreise!$D$2:$D$21)</f>
        <v>0</v>
      </c>
      <c r="AQ47" s="258">
        <f t="shared" ca="1" si="24"/>
        <v>0</v>
      </c>
      <c r="AR47" s="259">
        <v>34</v>
      </c>
      <c r="AS47" s="260" t="str">
        <f t="shared" si="25"/>
        <v>0 0</v>
      </c>
      <c r="AT47" s="261">
        <f ca="1">SUMIF(bogenpreise!$A$2:$A$22,AS47,bogenpreise!$D$2:$D$21)</f>
        <v>0</v>
      </c>
      <c r="AU47" s="262">
        <f t="shared" ca="1" si="3"/>
        <v>0</v>
      </c>
      <c r="AW47" s="256">
        <v>34</v>
      </c>
      <c r="AX47" s="257">
        <f t="shared" si="26"/>
        <v>0</v>
      </c>
      <c r="AY47" s="257">
        <f t="shared" si="27"/>
        <v>0</v>
      </c>
      <c r="AZ47" s="257" t="str">
        <f t="shared" si="28"/>
        <v>0 0</v>
      </c>
      <c r="BA47" s="257"/>
      <c r="BB47" s="258">
        <f ca="1">SUMIF(bogenpreise!$A$2:$A$22,AZ47,bogenpreise!$D$2:$D$21)</f>
        <v>0</v>
      </c>
      <c r="BC47" s="258">
        <f t="shared" ca="1" si="29"/>
        <v>0</v>
      </c>
      <c r="BD47" s="259">
        <v>34</v>
      </c>
      <c r="BE47" s="260" t="str">
        <f t="shared" si="30"/>
        <v>0 0</v>
      </c>
      <c r="BF47" s="261">
        <f ca="1">SUMIF(bogenpreise!$A$2:$A$22,BE47,bogenpreise!$D$2:$D$21)</f>
        <v>0</v>
      </c>
      <c r="BG47" s="262">
        <f t="shared" ca="1" si="4"/>
        <v>0</v>
      </c>
    </row>
    <row r="48" spans="1:59" ht="17.25" customHeight="1">
      <c r="A48" s="256">
        <v>35</v>
      </c>
      <c r="B48" s="257">
        <f t="shared" si="5"/>
        <v>0</v>
      </c>
      <c r="C48" s="257">
        <f t="shared" si="6"/>
        <v>0</v>
      </c>
      <c r="D48" s="257" t="str">
        <f t="shared" si="7"/>
        <v>0 0</v>
      </c>
      <c r="E48" s="257"/>
      <c r="F48" s="258">
        <f ca="1">SUMIF(bogenpreise!$A$2:$A$22,D48,bogenpreise!$D$2:$D$21)</f>
        <v>0</v>
      </c>
      <c r="G48" s="258">
        <f t="shared" ca="1" si="8"/>
        <v>0</v>
      </c>
      <c r="H48" s="259">
        <v>35</v>
      </c>
      <c r="I48" s="260" t="str">
        <f t="shared" si="9"/>
        <v>0 0</v>
      </c>
      <c r="J48" s="261">
        <f ca="1">SUMIF(bogenpreise!$A$2:$A$22,I48,bogenpreise!$D$2:$D$21)</f>
        <v>0</v>
      </c>
      <c r="K48" s="262">
        <f t="shared" ca="1" si="10"/>
        <v>0</v>
      </c>
      <c r="M48" s="256">
        <v>35</v>
      </c>
      <c r="N48" s="257">
        <f t="shared" si="11"/>
        <v>0</v>
      </c>
      <c r="O48" s="257">
        <f t="shared" si="12"/>
        <v>0</v>
      </c>
      <c r="P48" s="257" t="str">
        <f t="shared" si="13"/>
        <v>0 0</v>
      </c>
      <c r="Q48" s="257"/>
      <c r="R48" s="258">
        <f ca="1">SUMIF(bogenpreise!$A$2:$A$22,P48,bogenpreise!$D$2:$D$21)</f>
        <v>0</v>
      </c>
      <c r="S48" s="258">
        <f t="shared" ca="1" si="14"/>
        <v>0</v>
      </c>
      <c r="T48" s="259">
        <v>35</v>
      </c>
      <c r="U48" s="260" t="str">
        <f t="shared" si="15"/>
        <v>0 0</v>
      </c>
      <c r="V48" s="261">
        <f ca="1">SUMIF(bogenpreise!$A$2:$A$22,U48,bogenpreise!$D$2:$D$21)</f>
        <v>0</v>
      </c>
      <c r="W48" s="262">
        <f t="shared" ca="1" si="1"/>
        <v>0</v>
      </c>
      <c r="Y48" s="256">
        <v>35</v>
      </c>
      <c r="Z48" s="257">
        <f t="shared" si="16"/>
        <v>0</v>
      </c>
      <c r="AA48" s="257">
        <f t="shared" si="17"/>
        <v>0</v>
      </c>
      <c r="AB48" s="257" t="str">
        <f t="shared" si="18"/>
        <v>0 0</v>
      </c>
      <c r="AC48" s="257"/>
      <c r="AD48" s="258">
        <f ca="1">SUMIF(bogenpreise!$A$2:$A$22,AB48,bogenpreise!$D$2:$D$21)</f>
        <v>0</v>
      </c>
      <c r="AE48" s="258">
        <f t="shared" ca="1" si="19"/>
        <v>0</v>
      </c>
      <c r="AF48" s="259">
        <v>35</v>
      </c>
      <c r="AG48" s="260" t="str">
        <f t="shared" si="20"/>
        <v>0 0</v>
      </c>
      <c r="AH48" s="261">
        <f ca="1">SUMIF(bogenpreise!$A$2:$A$22,AG48,bogenpreise!$D$2:$D$21)</f>
        <v>0</v>
      </c>
      <c r="AI48" s="262">
        <f t="shared" ca="1" si="2"/>
        <v>0</v>
      </c>
      <c r="AK48" s="256">
        <v>35</v>
      </c>
      <c r="AL48" s="257">
        <f t="shared" si="21"/>
        <v>0</v>
      </c>
      <c r="AM48" s="257">
        <f t="shared" si="22"/>
        <v>0</v>
      </c>
      <c r="AN48" s="257" t="str">
        <f t="shared" si="23"/>
        <v>0 0</v>
      </c>
      <c r="AO48" s="257"/>
      <c r="AP48" s="258">
        <f ca="1">SUMIF(bogenpreise!$A$2:$A$22,AN48,bogenpreise!$D$2:$D$21)</f>
        <v>0</v>
      </c>
      <c r="AQ48" s="258">
        <f t="shared" ca="1" si="24"/>
        <v>0</v>
      </c>
      <c r="AR48" s="259">
        <v>35</v>
      </c>
      <c r="AS48" s="260" t="str">
        <f t="shared" si="25"/>
        <v>0 0</v>
      </c>
      <c r="AT48" s="261">
        <f ca="1">SUMIF(bogenpreise!$A$2:$A$22,AS48,bogenpreise!$D$2:$D$21)</f>
        <v>0</v>
      </c>
      <c r="AU48" s="262">
        <f t="shared" ca="1" si="3"/>
        <v>0</v>
      </c>
      <c r="AW48" s="256">
        <v>35</v>
      </c>
      <c r="AX48" s="257">
        <f t="shared" si="26"/>
        <v>0</v>
      </c>
      <c r="AY48" s="257">
        <f t="shared" si="27"/>
        <v>0</v>
      </c>
      <c r="AZ48" s="257" t="str">
        <f t="shared" si="28"/>
        <v>0 0</v>
      </c>
      <c r="BA48" s="257"/>
      <c r="BB48" s="258">
        <f ca="1">SUMIF(bogenpreise!$A$2:$A$22,AZ48,bogenpreise!$D$2:$D$21)</f>
        <v>0</v>
      </c>
      <c r="BC48" s="258">
        <f t="shared" ca="1" si="29"/>
        <v>0</v>
      </c>
      <c r="BD48" s="259">
        <v>35</v>
      </c>
      <c r="BE48" s="260" t="str">
        <f t="shared" si="30"/>
        <v>0 0</v>
      </c>
      <c r="BF48" s="261">
        <f ca="1">SUMIF(bogenpreise!$A$2:$A$22,BE48,bogenpreise!$D$2:$D$21)</f>
        <v>0</v>
      </c>
      <c r="BG48" s="262">
        <f t="shared" ca="1" si="4"/>
        <v>0</v>
      </c>
    </row>
    <row r="49" spans="1:59" ht="17.25" customHeight="1">
      <c r="A49" s="256">
        <v>36</v>
      </c>
      <c r="B49" s="257">
        <f t="shared" si="5"/>
        <v>0</v>
      </c>
      <c r="C49" s="257">
        <f t="shared" si="6"/>
        <v>0</v>
      </c>
      <c r="D49" s="257" t="str">
        <f t="shared" si="7"/>
        <v>0 0</v>
      </c>
      <c r="E49" s="257"/>
      <c r="F49" s="258">
        <f ca="1">SUMIF(bogenpreise!$A$2:$A$22,D49,bogenpreise!$D$2:$D$21)</f>
        <v>0</v>
      </c>
      <c r="G49" s="258">
        <f t="shared" ca="1" si="8"/>
        <v>0</v>
      </c>
      <c r="H49" s="259">
        <v>36</v>
      </c>
      <c r="I49" s="260" t="str">
        <f t="shared" si="9"/>
        <v>0 0</v>
      </c>
      <c r="J49" s="261">
        <f ca="1">SUMIF(bogenpreise!$A$2:$A$22,I49,bogenpreise!$D$2:$D$21)</f>
        <v>0</v>
      </c>
      <c r="K49" s="262">
        <f t="shared" ca="1" si="10"/>
        <v>0</v>
      </c>
      <c r="M49" s="256">
        <v>36</v>
      </c>
      <c r="N49" s="257">
        <f t="shared" si="11"/>
        <v>0</v>
      </c>
      <c r="O49" s="257">
        <f t="shared" si="12"/>
        <v>0</v>
      </c>
      <c r="P49" s="257" t="str">
        <f t="shared" si="13"/>
        <v>0 0</v>
      </c>
      <c r="Q49" s="257"/>
      <c r="R49" s="258">
        <f ca="1">SUMIF(bogenpreise!$A$2:$A$22,P49,bogenpreise!$D$2:$D$21)</f>
        <v>0</v>
      </c>
      <c r="S49" s="258">
        <f t="shared" ca="1" si="14"/>
        <v>0</v>
      </c>
      <c r="T49" s="259">
        <v>36</v>
      </c>
      <c r="U49" s="260" t="str">
        <f t="shared" si="15"/>
        <v>0 0</v>
      </c>
      <c r="V49" s="261">
        <f ca="1">SUMIF(bogenpreise!$A$2:$A$22,U49,bogenpreise!$D$2:$D$21)</f>
        <v>0</v>
      </c>
      <c r="W49" s="262">
        <f t="shared" ca="1" si="1"/>
        <v>0</v>
      </c>
      <c r="Y49" s="256">
        <v>36</v>
      </c>
      <c r="Z49" s="257">
        <f t="shared" si="16"/>
        <v>0</v>
      </c>
      <c r="AA49" s="257">
        <f t="shared" si="17"/>
        <v>0</v>
      </c>
      <c r="AB49" s="257" t="str">
        <f t="shared" si="18"/>
        <v>0 0</v>
      </c>
      <c r="AC49" s="257"/>
      <c r="AD49" s="258">
        <f ca="1">SUMIF(bogenpreise!$A$2:$A$22,AB49,bogenpreise!$D$2:$D$21)</f>
        <v>0</v>
      </c>
      <c r="AE49" s="258">
        <f t="shared" ca="1" si="19"/>
        <v>0</v>
      </c>
      <c r="AF49" s="259">
        <v>36</v>
      </c>
      <c r="AG49" s="260" t="str">
        <f t="shared" si="20"/>
        <v>0 0</v>
      </c>
      <c r="AH49" s="261">
        <f ca="1">SUMIF(bogenpreise!$A$2:$A$22,AG49,bogenpreise!$D$2:$D$21)</f>
        <v>0</v>
      </c>
      <c r="AI49" s="262">
        <f t="shared" ca="1" si="2"/>
        <v>0</v>
      </c>
      <c r="AK49" s="256">
        <v>36</v>
      </c>
      <c r="AL49" s="257">
        <f t="shared" si="21"/>
        <v>0</v>
      </c>
      <c r="AM49" s="257">
        <f t="shared" si="22"/>
        <v>0</v>
      </c>
      <c r="AN49" s="257" t="str">
        <f t="shared" si="23"/>
        <v>0 0</v>
      </c>
      <c r="AO49" s="257"/>
      <c r="AP49" s="258">
        <f ca="1">SUMIF(bogenpreise!$A$2:$A$22,AN49,bogenpreise!$D$2:$D$21)</f>
        <v>0</v>
      </c>
      <c r="AQ49" s="258">
        <f t="shared" ca="1" si="24"/>
        <v>0</v>
      </c>
      <c r="AR49" s="259">
        <v>36</v>
      </c>
      <c r="AS49" s="260" t="str">
        <f t="shared" si="25"/>
        <v>0 0</v>
      </c>
      <c r="AT49" s="261">
        <f ca="1">SUMIF(bogenpreise!$A$2:$A$22,AS49,bogenpreise!$D$2:$D$21)</f>
        <v>0</v>
      </c>
      <c r="AU49" s="262">
        <f t="shared" ca="1" si="3"/>
        <v>0</v>
      </c>
      <c r="AW49" s="256">
        <v>36</v>
      </c>
      <c r="AX49" s="257">
        <f t="shared" si="26"/>
        <v>0</v>
      </c>
      <c r="AY49" s="257">
        <f t="shared" si="27"/>
        <v>0</v>
      </c>
      <c r="AZ49" s="257" t="str">
        <f t="shared" si="28"/>
        <v>0 0</v>
      </c>
      <c r="BA49" s="257"/>
      <c r="BB49" s="258">
        <f ca="1">SUMIF(bogenpreise!$A$2:$A$22,AZ49,bogenpreise!$D$2:$D$21)</f>
        <v>0</v>
      </c>
      <c r="BC49" s="258">
        <f t="shared" ca="1" si="29"/>
        <v>0</v>
      </c>
      <c r="BD49" s="259">
        <v>36</v>
      </c>
      <c r="BE49" s="260" t="str">
        <f t="shared" si="30"/>
        <v>0 0</v>
      </c>
      <c r="BF49" s="261">
        <f ca="1">SUMIF(bogenpreise!$A$2:$A$22,BE49,bogenpreise!$D$2:$D$21)</f>
        <v>0</v>
      </c>
      <c r="BG49" s="262">
        <f t="shared" ca="1" si="4"/>
        <v>0</v>
      </c>
    </row>
    <row r="50" spans="1:59" ht="17.25" customHeight="1">
      <c r="A50" s="256">
        <v>37</v>
      </c>
      <c r="B50" s="257">
        <f t="shared" si="5"/>
        <v>0</v>
      </c>
      <c r="C50" s="257">
        <f t="shared" si="6"/>
        <v>0</v>
      </c>
      <c r="D50" s="257" t="str">
        <f t="shared" si="7"/>
        <v>0 0</v>
      </c>
      <c r="E50" s="257"/>
      <c r="F50" s="258">
        <f ca="1">SUMIF(bogenpreise!$A$2:$A$22,D50,bogenpreise!$D$2:$D$21)</f>
        <v>0</v>
      </c>
      <c r="G50" s="258">
        <f t="shared" ca="1" si="8"/>
        <v>0</v>
      </c>
      <c r="H50" s="259">
        <v>37</v>
      </c>
      <c r="I50" s="260" t="str">
        <f t="shared" si="9"/>
        <v>0 0</v>
      </c>
      <c r="J50" s="261">
        <f ca="1">SUMIF(bogenpreise!$A$2:$A$22,I50,bogenpreise!$D$2:$D$21)</f>
        <v>0</v>
      </c>
      <c r="K50" s="262">
        <f t="shared" ca="1" si="10"/>
        <v>0</v>
      </c>
      <c r="M50" s="256">
        <v>37</v>
      </c>
      <c r="N50" s="257">
        <f t="shared" si="11"/>
        <v>0</v>
      </c>
      <c r="O50" s="257">
        <f t="shared" si="12"/>
        <v>0</v>
      </c>
      <c r="P50" s="257" t="str">
        <f t="shared" si="13"/>
        <v>0 0</v>
      </c>
      <c r="Q50" s="257"/>
      <c r="R50" s="258">
        <f ca="1">SUMIF(bogenpreise!$A$2:$A$22,P50,bogenpreise!$D$2:$D$21)</f>
        <v>0</v>
      </c>
      <c r="S50" s="258">
        <f t="shared" ca="1" si="14"/>
        <v>0</v>
      </c>
      <c r="T50" s="259">
        <v>37</v>
      </c>
      <c r="U50" s="260" t="str">
        <f t="shared" si="15"/>
        <v>0 0</v>
      </c>
      <c r="V50" s="261">
        <f ca="1">SUMIF(bogenpreise!$A$2:$A$22,U50,bogenpreise!$D$2:$D$21)</f>
        <v>0</v>
      </c>
      <c r="W50" s="262">
        <f t="shared" ca="1" si="1"/>
        <v>0</v>
      </c>
      <c r="Y50" s="256">
        <v>37</v>
      </c>
      <c r="Z50" s="257">
        <f t="shared" si="16"/>
        <v>0</v>
      </c>
      <c r="AA50" s="257">
        <f t="shared" si="17"/>
        <v>0</v>
      </c>
      <c r="AB50" s="257" t="str">
        <f t="shared" si="18"/>
        <v>0 0</v>
      </c>
      <c r="AC50" s="257"/>
      <c r="AD50" s="258">
        <f ca="1">SUMIF(bogenpreise!$A$2:$A$22,AB50,bogenpreise!$D$2:$D$21)</f>
        <v>0</v>
      </c>
      <c r="AE50" s="258">
        <f t="shared" ca="1" si="19"/>
        <v>0</v>
      </c>
      <c r="AF50" s="259">
        <v>37</v>
      </c>
      <c r="AG50" s="260" t="str">
        <f t="shared" si="20"/>
        <v>0 0</v>
      </c>
      <c r="AH50" s="261">
        <f ca="1">SUMIF(bogenpreise!$A$2:$A$22,AG50,bogenpreise!$D$2:$D$21)</f>
        <v>0</v>
      </c>
      <c r="AI50" s="262">
        <f t="shared" ca="1" si="2"/>
        <v>0</v>
      </c>
      <c r="AK50" s="256">
        <v>37</v>
      </c>
      <c r="AL50" s="257">
        <f t="shared" si="21"/>
        <v>0</v>
      </c>
      <c r="AM50" s="257">
        <f t="shared" si="22"/>
        <v>0</v>
      </c>
      <c r="AN50" s="257" t="str">
        <f t="shared" si="23"/>
        <v>0 0</v>
      </c>
      <c r="AO50" s="257"/>
      <c r="AP50" s="258">
        <f ca="1">SUMIF(bogenpreise!$A$2:$A$22,AN50,bogenpreise!$D$2:$D$21)</f>
        <v>0</v>
      </c>
      <c r="AQ50" s="258">
        <f t="shared" ca="1" si="24"/>
        <v>0</v>
      </c>
      <c r="AR50" s="259">
        <v>37</v>
      </c>
      <c r="AS50" s="260" t="str">
        <f t="shared" si="25"/>
        <v>0 0</v>
      </c>
      <c r="AT50" s="261">
        <f ca="1">SUMIF(bogenpreise!$A$2:$A$22,AS50,bogenpreise!$D$2:$D$21)</f>
        <v>0</v>
      </c>
      <c r="AU50" s="262">
        <f t="shared" ca="1" si="3"/>
        <v>0</v>
      </c>
      <c r="AW50" s="256">
        <v>37</v>
      </c>
      <c r="AX50" s="257">
        <f t="shared" si="26"/>
        <v>0</v>
      </c>
      <c r="AY50" s="257">
        <f t="shared" si="27"/>
        <v>0</v>
      </c>
      <c r="AZ50" s="257" t="str">
        <f t="shared" si="28"/>
        <v>0 0</v>
      </c>
      <c r="BA50" s="257"/>
      <c r="BB50" s="258">
        <f ca="1">SUMIF(bogenpreise!$A$2:$A$22,AZ50,bogenpreise!$D$2:$D$21)</f>
        <v>0</v>
      </c>
      <c r="BC50" s="258">
        <f t="shared" ca="1" si="29"/>
        <v>0</v>
      </c>
      <c r="BD50" s="259">
        <v>37</v>
      </c>
      <c r="BE50" s="260" t="str">
        <f t="shared" si="30"/>
        <v>0 0</v>
      </c>
      <c r="BF50" s="261">
        <f ca="1">SUMIF(bogenpreise!$A$2:$A$22,BE50,bogenpreise!$D$2:$D$21)</f>
        <v>0</v>
      </c>
      <c r="BG50" s="262">
        <f t="shared" ca="1" si="4"/>
        <v>0</v>
      </c>
    </row>
    <row r="51" spans="1:59" ht="17.25" customHeight="1">
      <c r="A51" s="256">
        <v>38</v>
      </c>
      <c r="B51" s="257">
        <f t="shared" si="5"/>
        <v>0</v>
      </c>
      <c r="C51" s="257">
        <f t="shared" si="6"/>
        <v>0</v>
      </c>
      <c r="D51" s="257" t="str">
        <f t="shared" si="7"/>
        <v>0 0</v>
      </c>
      <c r="E51" s="257"/>
      <c r="F51" s="258">
        <f ca="1">SUMIF(bogenpreise!$A$2:$A$22,D51,bogenpreise!$D$2:$D$21)</f>
        <v>0</v>
      </c>
      <c r="G51" s="258">
        <f t="shared" ca="1" si="8"/>
        <v>0</v>
      </c>
      <c r="H51" s="259">
        <v>38</v>
      </c>
      <c r="I51" s="260" t="str">
        <f t="shared" si="9"/>
        <v>0 0</v>
      </c>
      <c r="J51" s="261">
        <f ca="1">SUMIF(bogenpreise!$A$2:$A$22,I51,bogenpreise!$D$2:$D$21)</f>
        <v>0</v>
      </c>
      <c r="K51" s="262">
        <f t="shared" ca="1" si="10"/>
        <v>0</v>
      </c>
      <c r="M51" s="256">
        <v>38</v>
      </c>
      <c r="N51" s="257">
        <f t="shared" si="11"/>
        <v>0</v>
      </c>
      <c r="O51" s="257">
        <f t="shared" si="12"/>
        <v>0</v>
      </c>
      <c r="P51" s="257" t="str">
        <f t="shared" si="13"/>
        <v>0 0</v>
      </c>
      <c r="Q51" s="257"/>
      <c r="R51" s="258">
        <f ca="1">SUMIF(bogenpreise!$A$2:$A$22,P51,bogenpreise!$D$2:$D$21)</f>
        <v>0</v>
      </c>
      <c r="S51" s="258">
        <f t="shared" ca="1" si="14"/>
        <v>0</v>
      </c>
      <c r="T51" s="259">
        <v>38</v>
      </c>
      <c r="U51" s="260" t="str">
        <f t="shared" si="15"/>
        <v>0 0</v>
      </c>
      <c r="V51" s="261">
        <f ca="1">SUMIF(bogenpreise!$A$2:$A$22,U51,bogenpreise!$D$2:$D$21)</f>
        <v>0</v>
      </c>
      <c r="W51" s="262">
        <f t="shared" ca="1" si="1"/>
        <v>0</v>
      </c>
      <c r="Y51" s="256">
        <v>38</v>
      </c>
      <c r="Z51" s="257">
        <f t="shared" si="16"/>
        <v>0</v>
      </c>
      <c r="AA51" s="257">
        <f t="shared" si="17"/>
        <v>0</v>
      </c>
      <c r="AB51" s="257" t="str">
        <f t="shared" si="18"/>
        <v>0 0</v>
      </c>
      <c r="AC51" s="257"/>
      <c r="AD51" s="258">
        <f ca="1">SUMIF(bogenpreise!$A$2:$A$22,AB51,bogenpreise!$D$2:$D$21)</f>
        <v>0</v>
      </c>
      <c r="AE51" s="258">
        <f t="shared" ca="1" si="19"/>
        <v>0</v>
      </c>
      <c r="AF51" s="259">
        <v>38</v>
      </c>
      <c r="AG51" s="260" t="str">
        <f t="shared" si="20"/>
        <v>0 0</v>
      </c>
      <c r="AH51" s="261">
        <f ca="1">SUMIF(bogenpreise!$A$2:$A$22,AG51,bogenpreise!$D$2:$D$21)</f>
        <v>0</v>
      </c>
      <c r="AI51" s="262">
        <f t="shared" ca="1" si="2"/>
        <v>0</v>
      </c>
      <c r="AK51" s="256">
        <v>38</v>
      </c>
      <c r="AL51" s="257">
        <f t="shared" si="21"/>
        <v>0</v>
      </c>
      <c r="AM51" s="257">
        <f t="shared" si="22"/>
        <v>0</v>
      </c>
      <c r="AN51" s="257" t="str">
        <f t="shared" si="23"/>
        <v>0 0</v>
      </c>
      <c r="AO51" s="257"/>
      <c r="AP51" s="258">
        <f ca="1">SUMIF(bogenpreise!$A$2:$A$22,AN51,bogenpreise!$D$2:$D$21)</f>
        <v>0</v>
      </c>
      <c r="AQ51" s="258">
        <f t="shared" ca="1" si="24"/>
        <v>0</v>
      </c>
      <c r="AR51" s="259">
        <v>38</v>
      </c>
      <c r="AS51" s="260" t="str">
        <f t="shared" si="25"/>
        <v>0 0</v>
      </c>
      <c r="AT51" s="261">
        <f ca="1">SUMIF(bogenpreise!$A$2:$A$22,AS51,bogenpreise!$D$2:$D$21)</f>
        <v>0</v>
      </c>
      <c r="AU51" s="262">
        <f t="shared" ca="1" si="3"/>
        <v>0</v>
      </c>
      <c r="AW51" s="256">
        <v>38</v>
      </c>
      <c r="AX51" s="257">
        <f t="shared" si="26"/>
        <v>0</v>
      </c>
      <c r="AY51" s="257">
        <f t="shared" si="27"/>
        <v>0</v>
      </c>
      <c r="AZ51" s="257" t="str">
        <f t="shared" si="28"/>
        <v>0 0</v>
      </c>
      <c r="BA51" s="257"/>
      <c r="BB51" s="258">
        <f ca="1">SUMIF(bogenpreise!$A$2:$A$22,AZ51,bogenpreise!$D$2:$D$21)</f>
        <v>0</v>
      </c>
      <c r="BC51" s="258">
        <f t="shared" ca="1" si="29"/>
        <v>0</v>
      </c>
      <c r="BD51" s="259">
        <v>38</v>
      </c>
      <c r="BE51" s="260" t="str">
        <f t="shared" si="30"/>
        <v>0 0</v>
      </c>
      <c r="BF51" s="261">
        <f ca="1">SUMIF(bogenpreise!$A$2:$A$22,BE51,bogenpreise!$D$2:$D$21)</f>
        <v>0</v>
      </c>
      <c r="BG51" s="262">
        <f t="shared" ca="1" si="4"/>
        <v>0</v>
      </c>
    </row>
    <row r="52" spans="1:59" ht="17.25" customHeight="1">
      <c r="A52" s="256">
        <v>39</v>
      </c>
      <c r="B52" s="257">
        <f t="shared" si="5"/>
        <v>0</v>
      </c>
      <c r="C52" s="257">
        <f t="shared" si="6"/>
        <v>0</v>
      </c>
      <c r="D52" s="257" t="str">
        <f t="shared" si="7"/>
        <v>0 0</v>
      </c>
      <c r="E52" s="257"/>
      <c r="F52" s="258">
        <f ca="1">SUMIF(bogenpreise!$A$2:$A$22,D52,bogenpreise!$D$2:$D$21)</f>
        <v>0</v>
      </c>
      <c r="G52" s="258">
        <f t="shared" ca="1" si="8"/>
        <v>0</v>
      </c>
      <c r="H52" s="259">
        <v>39</v>
      </c>
      <c r="I52" s="260" t="str">
        <f t="shared" si="9"/>
        <v>0 0</v>
      </c>
      <c r="J52" s="261">
        <f ca="1">SUMIF(bogenpreise!$A$2:$A$22,I52,bogenpreise!$D$2:$D$21)</f>
        <v>0</v>
      </c>
      <c r="K52" s="262">
        <f t="shared" ca="1" si="10"/>
        <v>0</v>
      </c>
      <c r="M52" s="256">
        <v>39</v>
      </c>
      <c r="N52" s="257">
        <f t="shared" si="11"/>
        <v>0</v>
      </c>
      <c r="O52" s="257">
        <f t="shared" si="12"/>
        <v>0</v>
      </c>
      <c r="P52" s="257" t="str">
        <f t="shared" si="13"/>
        <v>0 0</v>
      </c>
      <c r="Q52" s="257"/>
      <c r="R52" s="258">
        <f ca="1">SUMIF(bogenpreise!$A$2:$A$22,P52,bogenpreise!$D$2:$D$21)</f>
        <v>0</v>
      </c>
      <c r="S52" s="258">
        <f t="shared" ca="1" si="14"/>
        <v>0</v>
      </c>
      <c r="T52" s="259">
        <v>39</v>
      </c>
      <c r="U52" s="260" t="str">
        <f t="shared" si="15"/>
        <v>0 0</v>
      </c>
      <c r="V52" s="261">
        <f ca="1">SUMIF(bogenpreise!$A$2:$A$22,U52,bogenpreise!$D$2:$D$21)</f>
        <v>0</v>
      </c>
      <c r="W52" s="262">
        <f t="shared" ca="1" si="1"/>
        <v>0</v>
      </c>
      <c r="Y52" s="256">
        <v>39</v>
      </c>
      <c r="Z52" s="257">
        <f t="shared" si="16"/>
        <v>0</v>
      </c>
      <c r="AA52" s="257">
        <f t="shared" si="17"/>
        <v>0</v>
      </c>
      <c r="AB52" s="257" t="str">
        <f t="shared" si="18"/>
        <v>0 0</v>
      </c>
      <c r="AC52" s="257"/>
      <c r="AD52" s="258">
        <f ca="1">SUMIF(bogenpreise!$A$2:$A$22,AB52,bogenpreise!$D$2:$D$21)</f>
        <v>0</v>
      </c>
      <c r="AE52" s="258">
        <f t="shared" ca="1" si="19"/>
        <v>0</v>
      </c>
      <c r="AF52" s="259">
        <v>39</v>
      </c>
      <c r="AG52" s="260" t="str">
        <f t="shared" si="20"/>
        <v>0 0</v>
      </c>
      <c r="AH52" s="261">
        <f ca="1">SUMIF(bogenpreise!$A$2:$A$22,AG52,bogenpreise!$D$2:$D$21)</f>
        <v>0</v>
      </c>
      <c r="AI52" s="262">
        <f t="shared" ca="1" si="2"/>
        <v>0</v>
      </c>
      <c r="AK52" s="256">
        <v>39</v>
      </c>
      <c r="AL52" s="257">
        <f t="shared" si="21"/>
        <v>0</v>
      </c>
      <c r="AM52" s="257">
        <f t="shared" si="22"/>
        <v>0</v>
      </c>
      <c r="AN52" s="257" t="str">
        <f t="shared" si="23"/>
        <v>0 0</v>
      </c>
      <c r="AO52" s="257"/>
      <c r="AP52" s="258">
        <f ca="1">SUMIF(bogenpreise!$A$2:$A$22,AN52,bogenpreise!$D$2:$D$21)</f>
        <v>0</v>
      </c>
      <c r="AQ52" s="258">
        <f t="shared" ca="1" si="24"/>
        <v>0</v>
      </c>
      <c r="AR52" s="259">
        <v>39</v>
      </c>
      <c r="AS52" s="260" t="str">
        <f t="shared" si="25"/>
        <v>0 0</v>
      </c>
      <c r="AT52" s="261">
        <f ca="1">SUMIF(bogenpreise!$A$2:$A$22,AS52,bogenpreise!$D$2:$D$21)</f>
        <v>0</v>
      </c>
      <c r="AU52" s="262">
        <f t="shared" ca="1" si="3"/>
        <v>0</v>
      </c>
      <c r="AW52" s="256">
        <v>39</v>
      </c>
      <c r="AX52" s="257">
        <f t="shared" si="26"/>
        <v>0</v>
      </c>
      <c r="AY52" s="257">
        <f t="shared" si="27"/>
        <v>0</v>
      </c>
      <c r="AZ52" s="257" t="str">
        <f t="shared" si="28"/>
        <v>0 0</v>
      </c>
      <c r="BA52" s="257"/>
      <c r="BB52" s="258">
        <f ca="1">SUMIF(bogenpreise!$A$2:$A$22,AZ52,bogenpreise!$D$2:$D$21)</f>
        <v>0</v>
      </c>
      <c r="BC52" s="258">
        <f t="shared" ca="1" si="29"/>
        <v>0</v>
      </c>
      <c r="BD52" s="259">
        <v>39</v>
      </c>
      <c r="BE52" s="260" t="str">
        <f t="shared" si="30"/>
        <v>0 0</v>
      </c>
      <c r="BF52" s="261">
        <f ca="1">SUMIF(bogenpreise!$A$2:$A$22,BE52,bogenpreise!$D$2:$D$21)</f>
        <v>0</v>
      </c>
      <c r="BG52" s="262">
        <f t="shared" ca="1" si="4"/>
        <v>0</v>
      </c>
    </row>
    <row r="53" spans="1:59" ht="17.25" customHeight="1">
      <c r="A53" s="256">
        <v>40</v>
      </c>
      <c r="B53" s="257">
        <f t="shared" si="5"/>
        <v>0</v>
      </c>
      <c r="C53" s="257">
        <f t="shared" si="6"/>
        <v>0</v>
      </c>
      <c r="D53" s="257" t="str">
        <f t="shared" si="7"/>
        <v>0 0</v>
      </c>
      <c r="E53" s="257"/>
      <c r="F53" s="258">
        <f ca="1">SUMIF(bogenpreise!$A$2:$A$22,D53,bogenpreise!$D$2:$D$21)</f>
        <v>0</v>
      </c>
      <c r="G53" s="258">
        <f t="shared" ca="1" si="8"/>
        <v>0</v>
      </c>
      <c r="H53" s="259">
        <v>40</v>
      </c>
      <c r="I53" s="260" t="str">
        <f t="shared" si="9"/>
        <v>0 0</v>
      </c>
      <c r="J53" s="261">
        <f ca="1">SUMIF(bogenpreise!$A$2:$A$22,I53,bogenpreise!$D$2:$D$21)</f>
        <v>0</v>
      </c>
      <c r="K53" s="262">
        <f t="shared" ca="1" si="10"/>
        <v>0</v>
      </c>
      <c r="M53" s="256">
        <v>40</v>
      </c>
      <c r="N53" s="257">
        <f t="shared" si="11"/>
        <v>0</v>
      </c>
      <c r="O53" s="257">
        <f t="shared" si="12"/>
        <v>0</v>
      </c>
      <c r="P53" s="257" t="str">
        <f t="shared" si="13"/>
        <v>0 0</v>
      </c>
      <c r="Q53" s="257"/>
      <c r="R53" s="258">
        <f ca="1">SUMIF(bogenpreise!$A$2:$A$22,P53,bogenpreise!$D$2:$D$21)</f>
        <v>0</v>
      </c>
      <c r="S53" s="258">
        <f t="shared" ca="1" si="14"/>
        <v>0</v>
      </c>
      <c r="T53" s="259">
        <v>40</v>
      </c>
      <c r="U53" s="260" t="str">
        <f t="shared" si="15"/>
        <v>0 0</v>
      </c>
      <c r="V53" s="261">
        <f ca="1">SUMIF(bogenpreise!$A$2:$A$22,U53,bogenpreise!$D$2:$D$21)</f>
        <v>0</v>
      </c>
      <c r="W53" s="262">
        <f t="shared" ca="1" si="1"/>
        <v>0</v>
      </c>
      <c r="Y53" s="256">
        <v>40</v>
      </c>
      <c r="Z53" s="257">
        <f t="shared" si="16"/>
        <v>0</v>
      </c>
      <c r="AA53" s="257">
        <f t="shared" si="17"/>
        <v>0</v>
      </c>
      <c r="AB53" s="257" t="str">
        <f t="shared" si="18"/>
        <v>0 0</v>
      </c>
      <c r="AC53" s="257"/>
      <c r="AD53" s="258">
        <f ca="1">SUMIF(bogenpreise!$A$2:$A$22,AB53,bogenpreise!$D$2:$D$21)</f>
        <v>0</v>
      </c>
      <c r="AE53" s="258">
        <f t="shared" ca="1" si="19"/>
        <v>0</v>
      </c>
      <c r="AF53" s="259">
        <v>40</v>
      </c>
      <c r="AG53" s="260" t="str">
        <f t="shared" si="20"/>
        <v>0 0</v>
      </c>
      <c r="AH53" s="261">
        <f ca="1">SUMIF(bogenpreise!$A$2:$A$22,AG53,bogenpreise!$D$2:$D$21)</f>
        <v>0</v>
      </c>
      <c r="AI53" s="262">
        <f t="shared" ca="1" si="2"/>
        <v>0</v>
      </c>
      <c r="AK53" s="256">
        <v>40</v>
      </c>
      <c r="AL53" s="257">
        <f t="shared" si="21"/>
        <v>0</v>
      </c>
      <c r="AM53" s="257">
        <f t="shared" si="22"/>
        <v>0</v>
      </c>
      <c r="AN53" s="257" t="str">
        <f t="shared" si="23"/>
        <v>0 0</v>
      </c>
      <c r="AO53" s="257"/>
      <c r="AP53" s="258">
        <f ca="1">SUMIF(bogenpreise!$A$2:$A$22,AN53,bogenpreise!$D$2:$D$21)</f>
        <v>0</v>
      </c>
      <c r="AQ53" s="258">
        <f t="shared" ca="1" si="24"/>
        <v>0</v>
      </c>
      <c r="AR53" s="259">
        <v>40</v>
      </c>
      <c r="AS53" s="260" t="str">
        <f t="shared" si="25"/>
        <v>0 0</v>
      </c>
      <c r="AT53" s="261">
        <f ca="1">SUMIF(bogenpreise!$A$2:$A$22,AS53,bogenpreise!$D$2:$D$21)</f>
        <v>0</v>
      </c>
      <c r="AU53" s="262">
        <f t="shared" ca="1" si="3"/>
        <v>0</v>
      </c>
      <c r="AW53" s="256">
        <v>40</v>
      </c>
      <c r="AX53" s="257">
        <f t="shared" si="26"/>
        <v>0</v>
      </c>
      <c r="AY53" s="257">
        <f t="shared" si="27"/>
        <v>0</v>
      </c>
      <c r="AZ53" s="257" t="str">
        <f t="shared" si="28"/>
        <v>0 0</v>
      </c>
      <c r="BA53" s="257"/>
      <c r="BB53" s="258">
        <f ca="1">SUMIF(bogenpreise!$A$2:$A$22,AZ53,bogenpreise!$D$2:$D$21)</f>
        <v>0</v>
      </c>
      <c r="BC53" s="258">
        <f t="shared" ca="1" si="29"/>
        <v>0</v>
      </c>
      <c r="BD53" s="259">
        <v>40</v>
      </c>
      <c r="BE53" s="260" t="str">
        <f t="shared" si="30"/>
        <v>0 0</v>
      </c>
      <c r="BF53" s="261">
        <f ca="1">SUMIF(bogenpreise!$A$2:$A$22,BE53,bogenpreise!$D$2:$D$21)</f>
        <v>0</v>
      </c>
      <c r="BG53" s="262">
        <f t="shared" ca="1" si="4"/>
        <v>0</v>
      </c>
    </row>
    <row r="54" spans="1:59" ht="17.25" customHeight="1">
      <c r="A54" s="256">
        <v>41</v>
      </c>
      <c r="B54" s="257">
        <f t="shared" si="5"/>
        <v>0</v>
      </c>
      <c r="C54" s="257">
        <f t="shared" si="6"/>
        <v>0</v>
      </c>
      <c r="D54" s="257" t="str">
        <f t="shared" si="7"/>
        <v>0 0</v>
      </c>
      <c r="E54" s="257"/>
      <c r="F54" s="258">
        <f ca="1">SUMIF(bogenpreise!$A$2:$A$22,D54,bogenpreise!$D$2:$D$21)</f>
        <v>0</v>
      </c>
      <c r="G54" s="258">
        <f t="shared" ca="1" si="8"/>
        <v>0</v>
      </c>
      <c r="H54" s="259">
        <v>41</v>
      </c>
      <c r="I54" s="260" t="str">
        <f t="shared" si="9"/>
        <v>0 0</v>
      </c>
      <c r="J54" s="261">
        <f ca="1">SUMIF(bogenpreise!$A$2:$A$22,I54,bogenpreise!$D$2:$D$21)</f>
        <v>0</v>
      </c>
      <c r="K54" s="262">
        <f t="shared" ca="1" si="10"/>
        <v>0</v>
      </c>
      <c r="M54" s="256">
        <v>41</v>
      </c>
      <c r="N54" s="257">
        <f t="shared" si="11"/>
        <v>0</v>
      </c>
      <c r="O54" s="257">
        <f t="shared" si="12"/>
        <v>0</v>
      </c>
      <c r="P54" s="257" t="str">
        <f t="shared" si="13"/>
        <v>0 0</v>
      </c>
      <c r="Q54" s="257"/>
      <c r="R54" s="258">
        <f ca="1">SUMIF(bogenpreise!$A$2:$A$22,P54,bogenpreise!$D$2:$D$21)</f>
        <v>0</v>
      </c>
      <c r="S54" s="258">
        <f t="shared" ca="1" si="14"/>
        <v>0</v>
      </c>
      <c r="T54" s="259">
        <v>41</v>
      </c>
      <c r="U54" s="260" t="str">
        <f t="shared" si="15"/>
        <v>0 0</v>
      </c>
      <c r="V54" s="261">
        <f ca="1">SUMIF(bogenpreise!$A$2:$A$22,U54,bogenpreise!$D$2:$D$21)</f>
        <v>0</v>
      </c>
      <c r="W54" s="262">
        <f t="shared" ca="1" si="1"/>
        <v>0</v>
      </c>
      <c r="Y54" s="256">
        <v>41</v>
      </c>
      <c r="Z54" s="257">
        <f t="shared" si="16"/>
        <v>0</v>
      </c>
      <c r="AA54" s="257">
        <f t="shared" si="17"/>
        <v>0</v>
      </c>
      <c r="AB54" s="257" t="str">
        <f t="shared" si="18"/>
        <v>0 0</v>
      </c>
      <c r="AC54" s="257"/>
      <c r="AD54" s="258">
        <f ca="1">SUMIF(bogenpreise!$A$2:$A$22,AB54,bogenpreise!$D$2:$D$21)</f>
        <v>0</v>
      </c>
      <c r="AE54" s="258">
        <f t="shared" ca="1" si="19"/>
        <v>0</v>
      </c>
      <c r="AF54" s="259">
        <v>41</v>
      </c>
      <c r="AG54" s="260" t="str">
        <f t="shared" si="20"/>
        <v>0 0</v>
      </c>
      <c r="AH54" s="261">
        <f ca="1">SUMIF(bogenpreise!$A$2:$A$22,AG54,bogenpreise!$D$2:$D$21)</f>
        <v>0</v>
      </c>
      <c r="AI54" s="262">
        <f t="shared" ca="1" si="2"/>
        <v>0</v>
      </c>
      <c r="AK54" s="256">
        <v>41</v>
      </c>
      <c r="AL54" s="257">
        <f t="shared" si="21"/>
        <v>0</v>
      </c>
      <c r="AM54" s="257">
        <f t="shared" si="22"/>
        <v>0</v>
      </c>
      <c r="AN54" s="257" t="str">
        <f t="shared" si="23"/>
        <v>0 0</v>
      </c>
      <c r="AO54" s="257"/>
      <c r="AP54" s="258">
        <f ca="1">SUMIF(bogenpreise!$A$2:$A$22,AN54,bogenpreise!$D$2:$D$21)</f>
        <v>0</v>
      </c>
      <c r="AQ54" s="258">
        <f t="shared" ca="1" si="24"/>
        <v>0</v>
      </c>
      <c r="AR54" s="259">
        <v>41</v>
      </c>
      <c r="AS54" s="260" t="str">
        <f t="shared" si="25"/>
        <v>0 0</v>
      </c>
      <c r="AT54" s="261">
        <f ca="1">SUMIF(bogenpreise!$A$2:$A$22,AS54,bogenpreise!$D$2:$D$21)</f>
        <v>0</v>
      </c>
      <c r="AU54" s="262">
        <f t="shared" ca="1" si="3"/>
        <v>0</v>
      </c>
      <c r="AW54" s="256">
        <v>41</v>
      </c>
      <c r="AX54" s="257">
        <f t="shared" si="26"/>
        <v>0</v>
      </c>
      <c r="AY54" s="257">
        <f t="shared" si="27"/>
        <v>0</v>
      </c>
      <c r="AZ54" s="257" t="str">
        <f t="shared" si="28"/>
        <v>0 0</v>
      </c>
      <c r="BA54" s="257"/>
      <c r="BB54" s="258">
        <f ca="1">SUMIF(bogenpreise!$A$2:$A$22,AZ54,bogenpreise!$D$2:$D$21)</f>
        <v>0</v>
      </c>
      <c r="BC54" s="258">
        <f t="shared" ca="1" si="29"/>
        <v>0</v>
      </c>
      <c r="BD54" s="259">
        <v>41</v>
      </c>
      <c r="BE54" s="260" t="str">
        <f t="shared" si="30"/>
        <v>0 0</v>
      </c>
      <c r="BF54" s="261">
        <f ca="1">SUMIF(bogenpreise!$A$2:$A$22,BE54,bogenpreise!$D$2:$D$21)</f>
        <v>0</v>
      </c>
      <c r="BG54" s="262">
        <f t="shared" ca="1" si="4"/>
        <v>0</v>
      </c>
    </row>
    <row r="55" spans="1:59" ht="17.25" customHeight="1">
      <c r="A55" s="256">
        <v>42</v>
      </c>
      <c r="B55" s="257">
        <f t="shared" si="5"/>
        <v>0</v>
      </c>
      <c r="C55" s="257">
        <f t="shared" si="6"/>
        <v>0</v>
      </c>
      <c r="D55" s="257" t="str">
        <f t="shared" si="7"/>
        <v>0 0</v>
      </c>
      <c r="E55" s="257"/>
      <c r="F55" s="258">
        <f ca="1">SUMIF(bogenpreise!$A$2:$A$22,D55,bogenpreise!$D$2:$D$21)</f>
        <v>0</v>
      </c>
      <c r="G55" s="258">
        <f t="shared" ca="1" si="8"/>
        <v>0</v>
      </c>
      <c r="H55" s="259">
        <v>42</v>
      </c>
      <c r="I55" s="260" t="str">
        <f t="shared" si="9"/>
        <v>0 0</v>
      </c>
      <c r="J55" s="261">
        <f ca="1">SUMIF(bogenpreise!$A$2:$A$22,I55,bogenpreise!$D$2:$D$21)</f>
        <v>0</v>
      </c>
      <c r="K55" s="262">
        <f t="shared" ca="1" si="10"/>
        <v>0</v>
      </c>
      <c r="M55" s="256">
        <v>42</v>
      </c>
      <c r="N55" s="257">
        <f t="shared" si="11"/>
        <v>0</v>
      </c>
      <c r="O55" s="257">
        <f t="shared" si="12"/>
        <v>0</v>
      </c>
      <c r="P55" s="257" t="str">
        <f t="shared" si="13"/>
        <v>0 0</v>
      </c>
      <c r="Q55" s="257"/>
      <c r="R55" s="258">
        <f ca="1">SUMIF(bogenpreise!$A$2:$A$22,P55,bogenpreise!$D$2:$D$21)</f>
        <v>0</v>
      </c>
      <c r="S55" s="258">
        <f t="shared" ca="1" si="14"/>
        <v>0</v>
      </c>
      <c r="T55" s="259">
        <v>42</v>
      </c>
      <c r="U55" s="260" t="str">
        <f t="shared" si="15"/>
        <v>0 0</v>
      </c>
      <c r="V55" s="261">
        <f ca="1">SUMIF(bogenpreise!$A$2:$A$22,U55,bogenpreise!$D$2:$D$21)</f>
        <v>0</v>
      </c>
      <c r="W55" s="262">
        <f t="shared" ca="1" si="1"/>
        <v>0</v>
      </c>
      <c r="Y55" s="256">
        <v>42</v>
      </c>
      <c r="Z55" s="257">
        <f t="shared" si="16"/>
        <v>0</v>
      </c>
      <c r="AA55" s="257">
        <f t="shared" si="17"/>
        <v>0</v>
      </c>
      <c r="AB55" s="257" t="str">
        <f t="shared" si="18"/>
        <v>0 0</v>
      </c>
      <c r="AC55" s="257"/>
      <c r="AD55" s="258">
        <f ca="1">SUMIF(bogenpreise!$A$2:$A$22,AB55,bogenpreise!$D$2:$D$21)</f>
        <v>0</v>
      </c>
      <c r="AE55" s="258">
        <f t="shared" ca="1" si="19"/>
        <v>0</v>
      </c>
      <c r="AF55" s="259">
        <v>42</v>
      </c>
      <c r="AG55" s="260" t="str">
        <f t="shared" si="20"/>
        <v>0 0</v>
      </c>
      <c r="AH55" s="261">
        <f ca="1">SUMIF(bogenpreise!$A$2:$A$22,AG55,bogenpreise!$D$2:$D$21)</f>
        <v>0</v>
      </c>
      <c r="AI55" s="262">
        <f t="shared" ca="1" si="2"/>
        <v>0</v>
      </c>
      <c r="AK55" s="256">
        <v>42</v>
      </c>
      <c r="AL55" s="257">
        <f t="shared" si="21"/>
        <v>0</v>
      </c>
      <c r="AM55" s="257">
        <f t="shared" si="22"/>
        <v>0</v>
      </c>
      <c r="AN55" s="257" t="str">
        <f t="shared" si="23"/>
        <v>0 0</v>
      </c>
      <c r="AO55" s="257"/>
      <c r="AP55" s="258">
        <f ca="1">SUMIF(bogenpreise!$A$2:$A$22,AN55,bogenpreise!$D$2:$D$21)</f>
        <v>0</v>
      </c>
      <c r="AQ55" s="258">
        <f t="shared" ca="1" si="24"/>
        <v>0</v>
      </c>
      <c r="AR55" s="259">
        <v>42</v>
      </c>
      <c r="AS55" s="260" t="str">
        <f t="shared" si="25"/>
        <v>0 0</v>
      </c>
      <c r="AT55" s="261">
        <f ca="1">SUMIF(bogenpreise!$A$2:$A$22,AS55,bogenpreise!$D$2:$D$21)</f>
        <v>0</v>
      </c>
      <c r="AU55" s="262">
        <f t="shared" ca="1" si="3"/>
        <v>0</v>
      </c>
      <c r="AW55" s="256">
        <v>42</v>
      </c>
      <c r="AX55" s="257">
        <f t="shared" si="26"/>
        <v>0</v>
      </c>
      <c r="AY55" s="257">
        <f t="shared" si="27"/>
        <v>0</v>
      </c>
      <c r="AZ55" s="257" t="str">
        <f t="shared" si="28"/>
        <v>0 0</v>
      </c>
      <c r="BA55" s="257"/>
      <c r="BB55" s="258">
        <f ca="1">SUMIF(bogenpreise!$A$2:$A$22,AZ55,bogenpreise!$D$2:$D$21)</f>
        <v>0</v>
      </c>
      <c r="BC55" s="258">
        <f t="shared" ca="1" si="29"/>
        <v>0</v>
      </c>
      <c r="BD55" s="259">
        <v>42</v>
      </c>
      <c r="BE55" s="260" t="str">
        <f t="shared" si="30"/>
        <v>0 0</v>
      </c>
      <c r="BF55" s="261">
        <f ca="1">SUMIF(bogenpreise!$A$2:$A$22,BE55,bogenpreise!$D$2:$D$21)</f>
        <v>0</v>
      </c>
      <c r="BG55" s="262">
        <f t="shared" ca="1" si="4"/>
        <v>0</v>
      </c>
    </row>
    <row r="56" spans="1:59" ht="17.25" customHeight="1">
      <c r="A56" s="256">
        <v>43</v>
      </c>
      <c r="B56" s="257">
        <f t="shared" si="5"/>
        <v>0</v>
      </c>
      <c r="C56" s="257">
        <f t="shared" si="6"/>
        <v>0</v>
      </c>
      <c r="D56" s="257" t="str">
        <f t="shared" si="7"/>
        <v>0 0</v>
      </c>
      <c r="E56" s="257"/>
      <c r="F56" s="258">
        <f ca="1">SUMIF(bogenpreise!$A$2:$A$22,D56,bogenpreise!$D$2:$D$21)</f>
        <v>0</v>
      </c>
      <c r="G56" s="258">
        <f t="shared" ca="1" si="8"/>
        <v>0</v>
      </c>
      <c r="H56" s="259">
        <v>43</v>
      </c>
      <c r="I56" s="260" t="str">
        <f t="shared" si="9"/>
        <v>0 0</v>
      </c>
      <c r="J56" s="261">
        <f ca="1">SUMIF(bogenpreise!$A$2:$A$22,I56,bogenpreise!$D$2:$D$21)</f>
        <v>0</v>
      </c>
      <c r="K56" s="262">
        <f t="shared" ca="1" si="10"/>
        <v>0</v>
      </c>
      <c r="M56" s="256">
        <v>43</v>
      </c>
      <c r="N56" s="257">
        <f t="shared" si="11"/>
        <v>0</v>
      </c>
      <c r="O56" s="257">
        <f t="shared" si="12"/>
        <v>0</v>
      </c>
      <c r="P56" s="257" t="str">
        <f t="shared" si="13"/>
        <v>0 0</v>
      </c>
      <c r="Q56" s="257"/>
      <c r="R56" s="258">
        <f ca="1">SUMIF(bogenpreise!$A$2:$A$22,P56,bogenpreise!$D$2:$D$21)</f>
        <v>0</v>
      </c>
      <c r="S56" s="258">
        <f t="shared" ca="1" si="14"/>
        <v>0</v>
      </c>
      <c r="T56" s="259">
        <v>43</v>
      </c>
      <c r="U56" s="260" t="str">
        <f t="shared" si="15"/>
        <v>0 0</v>
      </c>
      <c r="V56" s="261">
        <f ca="1">SUMIF(bogenpreise!$A$2:$A$22,U56,bogenpreise!$D$2:$D$21)</f>
        <v>0</v>
      </c>
      <c r="W56" s="262">
        <f t="shared" ca="1" si="1"/>
        <v>0</v>
      </c>
      <c r="Y56" s="256">
        <v>43</v>
      </c>
      <c r="Z56" s="257">
        <f t="shared" si="16"/>
        <v>0</v>
      </c>
      <c r="AA56" s="257">
        <f t="shared" si="17"/>
        <v>0</v>
      </c>
      <c r="AB56" s="257" t="str">
        <f t="shared" si="18"/>
        <v>0 0</v>
      </c>
      <c r="AC56" s="257"/>
      <c r="AD56" s="258">
        <f ca="1">SUMIF(bogenpreise!$A$2:$A$22,AB56,bogenpreise!$D$2:$D$21)</f>
        <v>0</v>
      </c>
      <c r="AE56" s="258">
        <f t="shared" ca="1" si="19"/>
        <v>0</v>
      </c>
      <c r="AF56" s="259">
        <v>43</v>
      </c>
      <c r="AG56" s="260" t="str">
        <f t="shared" si="20"/>
        <v>0 0</v>
      </c>
      <c r="AH56" s="261">
        <f ca="1">SUMIF(bogenpreise!$A$2:$A$22,AG56,bogenpreise!$D$2:$D$21)</f>
        <v>0</v>
      </c>
      <c r="AI56" s="262">
        <f t="shared" ca="1" si="2"/>
        <v>0</v>
      </c>
      <c r="AK56" s="256">
        <v>43</v>
      </c>
      <c r="AL56" s="257">
        <f t="shared" si="21"/>
        <v>0</v>
      </c>
      <c r="AM56" s="257">
        <f t="shared" si="22"/>
        <v>0</v>
      </c>
      <c r="AN56" s="257" t="str">
        <f t="shared" si="23"/>
        <v>0 0</v>
      </c>
      <c r="AO56" s="257"/>
      <c r="AP56" s="258">
        <f ca="1">SUMIF(bogenpreise!$A$2:$A$22,AN56,bogenpreise!$D$2:$D$21)</f>
        <v>0</v>
      </c>
      <c r="AQ56" s="258">
        <f t="shared" ca="1" si="24"/>
        <v>0</v>
      </c>
      <c r="AR56" s="259">
        <v>43</v>
      </c>
      <c r="AS56" s="260" t="str">
        <f t="shared" si="25"/>
        <v>0 0</v>
      </c>
      <c r="AT56" s="261">
        <f ca="1">SUMIF(bogenpreise!$A$2:$A$22,AS56,bogenpreise!$D$2:$D$21)</f>
        <v>0</v>
      </c>
      <c r="AU56" s="262">
        <f t="shared" ca="1" si="3"/>
        <v>0</v>
      </c>
      <c r="AW56" s="256">
        <v>43</v>
      </c>
      <c r="AX56" s="257">
        <f t="shared" si="26"/>
        <v>0</v>
      </c>
      <c r="AY56" s="257">
        <f t="shared" si="27"/>
        <v>0</v>
      </c>
      <c r="AZ56" s="257" t="str">
        <f t="shared" si="28"/>
        <v>0 0</v>
      </c>
      <c r="BA56" s="257"/>
      <c r="BB56" s="258">
        <f ca="1">SUMIF(bogenpreise!$A$2:$A$22,AZ56,bogenpreise!$D$2:$D$21)</f>
        <v>0</v>
      </c>
      <c r="BC56" s="258">
        <f t="shared" ca="1" si="29"/>
        <v>0</v>
      </c>
      <c r="BD56" s="259">
        <v>43</v>
      </c>
      <c r="BE56" s="260" t="str">
        <f t="shared" si="30"/>
        <v>0 0</v>
      </c>
      <c r="BF56" s="261">
        <f ca="1">SUMIF(bogenpreise!$A$2:$A$22,BE56,bogenpreise!$D$2:$D$21)</f>
        <v>0</v>
      </c>
      <c r="BG56" s="262">
        <f t="shared" ca="1" si="4"/>
        <v>0</v>
      </c>
    </row>
    <row r="57" spans="1:59" ht="17.25" customHeight="1">
      <c r="A57" s="256">
        <v>44</v>
      </c>
      <c r="B57" s="257">
        <f t="shared" si="5"/>
        <v>0</v>
      </c>
      <c r="C57" s="257">
        <f t="shared" si="6"/>
        <v>0</v>
      </c>
      <c r="D57" s="257" t="str">
        <f t="shared" si="7"/>
        <v>0 0</v>
      </c>
      <c r="E57" s="257"/>
      <c r="F57" s="258">
        <f ca="1">SUMIF(bogenpreise!$A$2:$A$22,D57,bogenpreise!$D$2:$D$21)</f>
        <v>0</v>
      </c>
      <c r="G57" s="258">
        <f t="shared" ca="1" si="8"/>
        <v>0</v>
      </c>
      <c r="H57" s="259">
        <v>44</v>
      </c>
      <c r="I57" s="260" t="str">
        <f t="shared" si="9"/>
        <v>0 0</v>
      </c>
      <c r="J57" s="261">
        <f ca="1">SUMIF(bogenpreise!$A$2:$A$22,I57,bogenpreise!$D$2:$D$21)</f>
        <v>0</v>
      </c>
      <c r="K57" s="262">
        <f t="shared" ca="1" si="10"/>
        <v>0</v>
      </c>
      <c r="M57" s="256">
        <v>44</v>
      </c>
      <c r="N57" s="257">
        <f t="shared" si="11"/>
        <v>0</v>
      </c>
      <c r="O57" s="257">
        <f t="shared" si="12"/>
        <v>0</v>
      </c>
      <c r="P57" s="257" t="str">
        <f t="shared" si="13"/>
        <v>0 0</v>
      </c>
      <c r="Q57" s="257"/>
      <c r="R57" s="258">
        <f ca="1">SUMIF(bogenpreise!$A$2:$A$22,P57,bogenpreise!$D$2:$D$21)</f>
        <v>0</v>
      </c>
      <c r="S57" s="258">
        <f t="shared" ca="1" si="14"/>
        <v>0</v>
      </c>
      <c r="T57" s="259">
        <v>44</v>
      </c>
      <c r="U57" s="260" t="str">
        <f t="shared" si="15"/>
        <v>0 0</v>
      </c>
      <c r="V57" s="261">
        <f ca="1">SUMIF(bogenpreise!$A$2:$A$22,U57,bogenpreise!$D$2:$D$21)</f>
        <v>0</v>
      </c>
      <c r="W57" s="262">
        <f t="shared" ca="1" si="1"/>
        <v>0</v>
      </c>
      <c r="Y57" s="256">
        <v>44</v>
      </c>
      <c r="Z57" s="257">
        <f t="shared" si="16"/>
        <v>0</v>
      </c>
      <c r="AA57" s="257">
        <f t="shared" si="17"/>
        <v>0</v>
      </c>
      <c r="AB57" s="257" t="str">
        <f t="shared" si="18"/>
        <v>0 0</v>
      </c>
      <c r="AC57" s="257"/>
      <c r="AD57" s="258">
        <f ca="1">SUMIF(bogenpreise!$A$2:$A$22,AB57,bogenpreise!$D$2:$D$21)</f>
        <v>0</v>
      </c>
      <c r="AE57" s="258">
        <f t="shared" ca="1" si="19"/>
        <v>0</v>
      </c>
      <c r="AF57" s="259">
        <v>44</v>
      </c>
      <c r="AG57" s="260" t="str">
        <f t="shared" si="20"/>
        <v>0 0</v>
      </c>
      <c r="AH57" s="261">
        <f ca="1">SUMIF(bogenpreise!$A$2:$A$22,AG57,bogenpreise!$D$2:$D$21)</f>
        <v>0</v>
      </c>
      <c r="AI57" s="262">
        <f t="shared" ca="1" si="2"/>
        <v>0</v>
      </c>
      <c r="AK57" s="256">
        <v>44</v>
      </c>
      <c r="AL57" s="257">
        <f t="shared" si="21"/>
        <v>0</v>
      </c>
      <c r="AM57" s="257">
        <f t="shared" si="22"/>
        <v>0</v>
      </c>
      <c r="AN57" s="257" t="str">
        <f t="shared" si="23"/>
        <v>0 0</v>
      </c>
      <c r="AO57" s="257"/>
      <c r="AP57" s="258">
        <f ca="1">SUMIF(bogenpreise!$A$2:$A$22,AN57,bogenpreise!$D$2:$D$21)</f>
        <v>0</v>
      </c>
      <c r="AQ57" s="258">
        <f t="shared" ca="1" si="24"/>
        <v>0</v>
      </c>
      <c r="AR57" s="259">
        <v>44</v>
      </c>
      <c r="AS57" s="260" t="str">
        <f t="shared" si="25"/>
        <v>0 0</v>
      </c>
      <c r="AT57" s="261">
        <f ca="1">SUMIF(bogenpreise!$A$2:$A$22,AS57,bogenpreise!$D$2:$D$21)</f>
        <v>0</v>
      </c>
      <c r="AU57" s="262">
        <f t="shared" ca="1" si="3"/>
        <v>0</v>
      </c>
      <c r="AW57" s="256">
        <v>44</v>
      </c>
      <c r="AX57" s="257">
        <f t="shared" si="26"/>
        <v>0</v>
      </c>
      <c r="AY57" s="257">
        <f t="shared" si="27"/>
        <v>0</v>
      </c>
      <c r="AZ57" s="257" t="str">
        <f t="shared" si="28"/>
        <v>0 0</v>
      </c>
      <c r="BA57" s="257"/>
      <c r="BB57" s="258">
        <f ca="1">SUMIF(bogenpreise!$A$2:$A$22,AZ57,bogenpreise!$D$2:$D$21)</f>
        <v>0</v>
      </c>
      <c r="BC57" s="258">
        <f t="shared" ca="1" si="29"/>
        <v>0</v>
      </c>
      <c r="BD57" s="259">
        <v>44</v>
      </c>
      <c r="BE57" s="260" t="str">
        <f t="shared" si="30"/>
        <v>0 0</v>
      </c>
      <c r="BF57" s="261">
        <f ca="1">SUMIF(bogenpreise!$A$2:$A$22,BE57,bogenpreise!$D$2:$D$21)</f>
        <v>0</v>
      </c>
      <c r="BG57" s="262">
        <f t="shared" ca="1" si="4"/>
        <v>0</v>
      </c>
    </row>
    <row r="58" spans="1:59" ht="17.25" customHeight="1">
      <c r="A58" s="256">
        <v>45</v>
      </c>
      <c r="B58" s="257">
        <f t="shared" si="5"/>
        <v>0</v>
      </c>
      <c r="C58" s="257">
        <f t="shared" si="6"/>
        <v>0</v>
      </c>
      <c r="D58" s="257" t="str">
        <f t="shared" si="7"/>
        <v>0 0</v>
      </c>
      <c r="E58" s="257"/>
      <c r="F58" s="258">
        <f ca="1">SUMIF(bogenpreise!$A$2:$A$22,D58,bogenpreise!$D$2:$D$21)</f>
        <v>0</v>
      </c>
      <c r="G58" s="258">
        <f t="shared" ca="1" si="8"/>
        <v>0</v>
      </c>
      <c r="H58" s="259">
        <v>45</v>
      </c>
      <c r="I58" s="260" t="str">
        <f t="shared" si="9"/>
        <v>0 0</v>
      </c>
      <c r="J58" s="261">
        <f ca="1">SUMIF(bogenpreise!$A$2:$A$22,I58,bogenpreise!$D$2:$D$21)</f>
        <v>0</v>
      </c>
      <c r="K58" s="262">
        <f t="shared" ca="1" si="10"/>
        <v>0</v>
      </c>
      <c r="M58" s="256">
        <v>45</v>
      </c>
      <c r="N58" s="257">
        <f t="shared" si="11"/>
        <v>0</v>
      </c>
      <c r="O58" s="257">
        <f t="shared" si="12"/>
        <v>0</v>
      </c>
      <c r="P58" s="257" t="str">
        <f t="shared" si="13"/>
        <v>0 0</v>
      </c>
      <c r="Q58" s="257"/>
      <c r="R58" s="258">
        <f ca="1">SUMIF(bogenpreise!$A$2:$A$22,P58,bogenpreise!$D$2:$D$21)</f>
        <v>0</v>
      </c>
      <c r="S58" s="258">
        <f t="shared" ca="1" si="14"/>
        <v>0</v>
      </c>
      <c r="T58" s="259">
        <v>45</v>
      </c>
      <c r="U58" s="260" t="str">
        <f t="shared" si="15"/>
        <v>0 0</v>
      </c>
      <c r="V58" s="261">
        <f ca="1">SUMIF(bogenpreise!$A$2:$A$22,U58,bogenpreise!$D$2:$D$21)</f>
        <v>0</v>
      </c>
      <c r="W58" s="262">
        <f t="shared" ca="1" si="1"/>
        <v>0</v>
      </c>
      <c r="Y58" s="256">
        <v>45</v>
      </c>
      <c r="Z58" s="257">
        <f t="shared" si="16"/>
        <v>0</v>
      </c>
      <c r="AA58" s="257">
        <f t="shared" si="17"/>
        <v>0</v>
      </c>
      <c r="AB58" s="257" t="str">
        <f t="shared" si="18"/>
        <v>0 0</v>
      </c>
      <c r="AC58" s="257"/>
      <c r="AD58" s="258">
        <f ca="1">SUMIF(bogenpreise!$A$2:$A$22,AB58,bogenpreise!$D$2:$D$21)</f>
        <v>0</v>
      </c>
      <c r="AE58" s="258">
        <f t="shared" ca="1" si="19"/>
        <v>0</v>
      </c>
      <c r="AF58" s="259">
        <v>45</v>
      </c>
      <c r="AG58" s="260" t="str">
        <f t="shared" si="20"/>
        <v>0 0</v>
      </c>
      <c r="AH58" s="261">
        <f ca="1">SUMIF(bogenpreise!$A$2:$A$22,AG58,bogenpreise!$D$2:$D$21)</f>
        <v>0</v>
      </c>
      <c r="AI58" s="262">
        <f t="shared" ca="1" si="2"/>
        <v>0</v>
      </c>
      <c r="AK58" s="256">
        <v>45</v>
      </c>
      <c r="AL58" s="257">
        <f t="shared" si="21"/>
        <v>0</v>
      </c>
      <c r="AM58" s="257">
        <f t="shared" si="22"/>
        <v>0</v>
      </c>
      <c r="AN58" s="257" t="str">
        <f t="shared" si="23"/>
        <v>0 0</v>
      </c>
      <c r="AO58" s="257"/>
      <c r="AP58" s="258">
        <f ca="1">SUMIF(bogenpreise!$A$2:$A$22,AN58,bogenpreise!$D$2:$D$21)</f>
        <v>0</v>
      </c>
      <c r="AQ58" s="258">
        <f t="shared" ca="1" si="24"/>
        <v>0</v>
      </c>
      <c r="AR58" s="259">
        <v>45</v>
      </c>
      <c r="AS58" s="260" t="str">
        <f t="shared" si="25"/>
        <v>0 0</v>
      </c>
      <c r="AT58" s="261">
        <f ca="1">SUMIF(bogenpreise!$A$2:$A$22,AS58,bogenpreise!$D$2:$D$21)</f>
        <v>0</v>
      </c>
      <c r="AU58" s="262">
        <f t="shared" ca="1" si="3"/>
        <v>0</v>
      </c>
      <c r="AW58" s="256">
        <v>45</v>
      </c>
      <c r="AX58" s="257">
        <f t="shared" si="26"/>
        <v>0</v>
      </c>
      <c r="AY58" s="257">
        <f t="shared" si="27"/>
        <v>0</v>
      </c>
      <c r="AZ58" s="257" t="str">
        <f t="shared" si="28"/>
        <v>0 0</v>
      </c>
      <c r="BA58" s="257"/>
      <c r="BB58" s="258">
        <f ca="1">SUMIF(bogenpreise!$A$2:$A$22,AZ58,bogenpreise!$D$2:$D$21)</f>
        <v>0</v>
      </c>
      <c r="BC58" s="258">
        <f t="shared" ca="1" si="29"/>
        <v>0</v>
      </c>
      <c r="BD58" s="259">
        <v>45</v>
      </c>
      <c r="BE58" s="260" t="str">
        <f t="shared" si="30"/>
        <v>0 0</v>
      </c>
      <c r="BF58" s="261">
        <f ca="1">SUMIF(bogenpreise!$A$2:$A$22,BE58,bogenpreise!$D$2:$D$21)</f>
        <v>0</v>
      </c>
      <c r="BG58" s="262">
        <f t="shared" ca="1" si="4"/>
        <v>0</v>
      </c>
    </row>
    <row r="59" spans="1:59" ht="17.25" customHeight="1">
      <c r="A59" s="256">
        <v>46</v>
      </c>
      <c r="B59" s="257">
        <f t="shared" si="5"/>
        <v>0</v>
      </c>
      <c r="C59" s="257">
        <f t="shared" si="6"/>
        <v>0</v>
      </c>
      <c r="D59" s="257" t="str">
        <f t="shared" si="7"/>
        <v>0 0</v>
      </c>
      <c r="E59" s="257"/>
      <c r="F59" s="258">
        <f ca="1">SUMIF(bogenpreise!$A$2:$A$22,D59,bogenpreise!$D$2:$D$21)</f>
        <v>0</v>
      </c>
      <c r="G59" s="258">
        <f t="shared" ca="1" si="8"/>
        <v>0</v>
      </c>
      <c r="H59" s="259">
        <v>46</v>
      </c>
      <c r="I59" s="260" t="str">
        <f t="shared" si="9"/>
        <v>0 0</v>
      </c>
      <c r="J59" s="261">
        <f ca="1">SUMIF(bogenpreise!$A$2:$A$22,I59,bogenpreise!$D$2:$D$21)</f>
        <v>0</v>
      </c>
      <c r="K59" s="262">
        <f t="shared" ca="1" si="10"/>
        <v>0</v>
      </c>
      <c r="M59" s="256">
        <v>46</v>
      </c>
      <c r="N59" s="257">
        <f t="shared" si="11"/>
        <v>0</v>
      </c>
      <c r="O59" s="257">
        <f t="shared" si="12"/>
        <v>0</v>
      </c>
      <c r="P59" s="257" t="str">
        <f t="shared" si="13"/>
        <v>0 0</v>
      </c>
      <c r="Q59" s="257"/>
      <c r="R59" s="258">
        <f ca="1">SUMIF(bogenpreise!$A$2:$A$22,P59,bogenpreise!$D$2:$D$21)</f>
        <v>0</v>
      </c>
      <c r="S59" s="258">
        <f t="shared" ca="1" si="14"/>
        <v>0</v>
      </c>
      <c r="T59" s="259">
        <v>46</v>
      </c>
      <c r="U59" s="260" t="str">
        <f t="shared" si="15"/>
        <v>0 0</v>
      </c>
      <c r="V59" s="261">
        <f ca="1">SUMIF(bogenpreise!$A$2:$A$22,U59,bogenpreise!$D$2:$D$21)</f>
        <v>0</v>
      </c>
      <c r="W59" s="262">
        <f t="shared" ca="1" si="1"/>
        <v>0</v>
      </c>
      <c r="Y59" s="256">
        <v>46</v>
      </c>
      <c r="Z59" s="257">
        <f t="shared" si="16"/>
        <v>0</v>
      </c>
      <c r="AA59" s="257">
        <f t="shared" si="17"/>
        <v>0</v>
      </c>
      <c r="AB59" s="257" t="str">
        <f t="shared" si="18"/>
        <v>0 0</v>
      </c>
      <c r="AC59" s="257"/>
      <c r="AD59" s="258">
        <f ca="1">SUMIF(bogenpreise!$A$2:$A$22,AB59,bogenpreise!$D$2:$D$21)</f>
        <v>0</v>
      </c>
      <c r="AE59" s="258">
        <f t="shared" ca="1" si="19"/>
        <v>0</v>
      </c>
      <c r="AF59" s="259">
        <v>46</v>
      </c>
      <c r="AG59" s="260" t="str">
        <f t="shared" si="20"/>
        <v>0 0</v>
      </c>
      <c r="AH59" s="261">
        <f ca="1">SUMIF(bogenpreise!$A$2:$A$22,AG59,bogenpreise!$D$2:$D$21)</f>
        <v>0</v>
      </c>
      <c r="AI59" s="262">
        <f t="shared" ca="1" si="2"/>
        <v>0</v>
      </c>
      <c r="AK59" s="256">
        <v>46</v>
      </c>
      <c r="AL59" s="257">
        <f t="shared" si="21"/>
        <v>0</v>
      </c>
      <c r="AM59" s="257">
        <f t="shared" si="22"/>
        <v>0</v>
      </c>
      <c r="AN59" s="257" t="str">
        <f t="shared" si="23"/>
        <v>0 0</v>
      </c>
      <c r="AO59" s="257"/>
      <c r="AP59" s="258">
        <f ca="1">SUMIF(bogenpreise!$A$2:$A$22,AN59,bogenpreise!$D$2:$D$21)</f>
        <v>0</v>
      </c>
      <c r="AQ59" s="258">
        <f t="shared" ca="1" si="24"/>
        <v>0</v>
      </c>
      <c r="AR59" s="259">
        <v>46</v>
      </c>
      <c r="AS59" s="260" t="str">
        <f t="shared" si="25"/>
        <v>0 0</v>
      </c>
      <c r="AT59" s="261">
        <f ca="1">SUMIF(bogenpreise!$A$2:$A$22,AS59,bogenpreise!$D$2:$D$21)</f>
        <v>0</v>
      </c>
      <c r="AU59" s="262">
        <f t="shared" ca="1" si="3"/>
        <v>0</v>
      </c>
      <c r="AW59" s="256">
        <v>46</v>
      </c>
      <c r="AX59" s="257">
        <f t="shared" si="26"/>
        <v>0</v>
      </c>
      <c r="AY59" s="257">
        <f t="shared" si="27"/>
        <v>0</v>
      </c>
      <c r="AZ59" s="257" t="str">
        <f t="shared" si="28"/>
        <v>0 0</v>
      </c>
      <c r="BA59" s="257"/>
      <c r="BB59" s="258">
        <f ca="1">SUMIF(bogenpreise!$A$2:$A$22,AZ59,bogenpreise!$D$2:$D$21)</f>
        <v>0</v>
      </c>
      <c r="BC59" s="258">
        <f t="shared" ca="1" si="29"/>
        <v>0</v>
      </c>
      <c r="BD59" s="259">
        <v>46</v>
      </c>
      <c r="BE59" s="260" t="str">
        <f t="shared" si="30"/>
        <v>0 0</v>
      </c>
      <c r="BF59" s="261">
        <f ca="1">SUMIF(bogenpreise!$A$2:$A$22,BE59,bogenpreise!$D$2:$D$21)</f>
        <v>0</v>
      </c>
      <c r="BG59" s="262">
        <f t="shared" ca="1" si="4"/>
        <v>0</v>
      </c>
    </row>
    <row r="60" spans="1:59" ht="17.25" customHeight="1">
      <c r="A60" s="256">
        <v>47</v>
      </c>
      <c r="B60" s="257">
        <f t="shared" si="5"/>
        <v>0</v>
      </c>
      <c r="C60" s="257">
        <f t="shared" si="6"/>
        <v>0</v>
      </c>
      <c r="D60" s="257" t="str">
        <f t="shared" si="7"/>
        <v>0 0</v>
      </c>
      <c r="E60" s="257"/>
      <c r="F60" s="258">
        <f ca="1">SUMIF(bogenpreise!$A$2:$A$22,D60,bogenpreise!$D$2:$D$21)</f>
        <v>0</v>
      </c>
      <c r="G60" s="258">
        <f t="shared" ca="1" si="8"/>
        <v>0</v>
      </c>
      <c r="H60" s="259">
        <v>47</v>
      </c>
      <c r="I60" s="260" t="str">
        <f t="shared" si="9"/>
        <v>0 0</v>
      </c>
      <c r="J60" s="261">
        <f ca="1">SUMIF(bogenpreise!$A$2:$A$22,I60,bogenpreise!$D$2:$D$21)</f>
        <v>0</v>
      </c>
      <c r="K60" s="262">
        <f t="shared" ca="1" si="10"/>
        <v>0</v>
      </c>
      <c r="M60" s="256">
        <v>47</v>
      </c>
      <c r="N60" s="257">
        <f t="shared" si="11"/>
        <v>0</v>
      </c>
      <c r="O60" s="257">
        <f t="shared" si="12"/>
        <v>0</v>
      </c>
      <c r="P60" s="257" t="str">
        <f t="shared" si="13"/>
        <v>0 0</v>
      </c>
      <c r="Q60" s="257"/>
      <c r="R60" s="258">
        <f ca="1">SUMIF(bogenpreise!$A$2:$A$22,P60,bogenpreise!$D$2:$D$21)</f>
        <v>0</v>
      </c>
      <c r="S60" s="258">
        <f t="shared" ca="1" si="14"/>
        <v>0</v>
      </c>
      <c r="T60" s="259">
        <v>47</v>
      </c>
      <c r="U60" s="260" t="str">
        <f t="shared" si="15"/>
        <v>0 0</v>
      </c>
      <c r="V60" s="261">
        <f ca="1">SUMIF(bogenpreise!$A$2:$A$22,U60,bogenpreise!$D$2:$D$21)</f>
        <v>0</v>
      </c>
      <c r="W60" s="262">
        <f t="shared" ca="1" si="1"/>
        <v>0</v>
      </c>
      <c r="Y60" s="256">
        <v>47</v>
      </c>
      <c r="Z60" s="257">
        <f t="shared" si="16"/>
        <v>0</v>
      </c>
      <c r="AA60" s="257">
        <f t="shared" si="17"/>
        <v>0</v>
      </c>
      <c r="AB60" s="257" t="str">
        <f t="shared" si="18"/>
        <v>0 0</v>
      </c>
      <c r="AC60" s="257"/>
      <c r="AD60" s="258">
        <f ca="1">SUMIF(bogenpreise!$A$2:$A$22,AB60,bogenpreise!$D$2:$D$21)</f>
        <v>0</v>
      </c>
      <c r="AE60" s="258">
        <f t="shared" ca="1" si="19"/>
        <v>0</v>
      </c>
      <c r="AF60" s="259">
        <v>47</v>
      </c>
      <c r="AG60" s="260" t="str">
        <f t="shared" si="20"/>
        <v>0 0</v>
      </c>
      <c r="AH60" s="261">
        <f ca="1">SUMIF(bogenpreise!$A$2:$A$22,AG60,bogenpreise!$D$2:$D$21)</f>
        <v>0</v>
      </c>
      <c r="AI60" s="262">
        <f t="shared" ca="1" si="2"/>
        <v>0</v>
      </c>
      <c r="AK60" s="256">
        <v>47</v>
      </c>
      <c r="AL60" s="257">
        <f t="shared" si="21"/>
        <v>0</v>
      </c>
      <c r="AM60" s="257">
        <f t="shared" si="22"/>
        <v>0</v>
      </c>
      <c r="AN60" s="257" t="str">
        <f t="shared" si="23"/>
        <v>0 0</v>
      </c>
      <c r="AO60" s="257"/>
      <c r="AP60" s="258">
        <f ca="1">SUMIF(bogenpreise!$A$2:$A$22,AN60,bogenpreise!$D$2:$D$21)</f>
        <v>0</v>
      </c>
      <c r="AQ60" s="258">
        <f t="shared" ca="1" si="24"/>
        <v>0</v>
      </c>
      <c r="AR60" s="259">
        <v>47</v>
      </c>
      <c r="AS60" s="260" t="str">
        <f t="shared" si="25"/>
        <v>0 0</v>
      </c>
      <c r="AT60" s="261">
        <f ca="1">SUMIF(bogenpreise!$A$2:$A$22,AS60,bogenpreise!$D$2:$D$21)</f>
        <v>0</v>
      </c>
      <c r="AU60" s="262">
        <f t="shared" ca="1" si="3"/>
        <v>0</v>
      </c>
      <c r="AW60" s="256">
        <v>47</v>
      </c>
      <c r="AX60" s="257">
        <f t="shared" si="26"/>
        <v>0</v>
      </c>
      <c r="AY60" s="257">
        <f t="shared" si="27"/>
        <v>0</v>
      </c>
      <c r="AZ60" s="257" t="str">
        <f t="shared" si="28"/>
        <v>0 0</v>
      </c>
      <c r="BA60" s="257"/>
      <c r="BB60" s="258">
        <f ca="1">SUMIF(bogenpreise!$A$2:$A$22,AZ60,bogenpreise!$D$2:$D$21)</f>
        <v>0</v>
      </c>
      <c r="BC60" s="258">
        <f t="shared" ca="1" si="29"/>
        <v>0</v>
      </c>
      <c r="BD60" s="259">
        <v>47</v>
      </c>
      <c r="BE60" s="260" t="str">
        <f t="shared" si="30"/>
        <v>0 0</v>
      </c>
      <c r="BF60" s="261">
        <f ca="1">SUMIF(bogenpreise!$A$2:$A$22,BE60,bogenpreise!$D$2:$D$21)</f>
        <v>0</v>
      </c>
      <c r="BG60" s="262">
        <f t="shared" ca="1" si="4"/>
        <v>0</v>
      </c>
    </row>
    <row r="61" spans="1:59" ht="17.25" customHeight="1">
      <c r="A61" s="256">
        <v>48</v>
      </c>
      <c r="B61" s="257">
        <f t="shared" si="5"/>
        <v>0</v>
      </c>
      <c r="C61" s="257">
        <f t="shared" si="6"/>
        <v>0</v>
      </c>
      <c r="D61" s="257" t="str">
        <f t="shared" si="7"/>
        <v>0 0</v>
      </c>
      <c r="E61" s="257"/>
      <c r="F61" s="258">
        <f ca="1">SUMIF(bogenpreise!$A$2:$A$22,D61,bogenpreise!$D$2:$D$21)</f>
        <v>0</v>
      </c>
      <c r="G61" s="258">
        <f t="shared" ca="1" si="8"/>
        <v>0</v>
      </c>
      <c r="H61" s="259">
        <v>48</v>
      </c>
      <c r="I61" s="260" t="str">
        <f t="shared" si="9"/>
        <v>0 0</v>
      </c>
      <c r="J61" s="261">
        <f ca="1">SUMIF(bogenpreise!$A$2:$A$22,I61,bogenpreise!$D$2:$D$21)</f>
        <v>0</v>
      </c>
      <c r="K61" s="262">
        <f t="shared" ca="1" si="10"/>
        <v>0</v>
      </c>
      <c r="M61" s="256">
        <v>48</v>
      </c>
      <c r="N61" s="257">
        <f t="shared" si="11"/>
        <v>0</v>
      </c>
      <c r="O61" s="257">
        <f t="shared" si="12"/>
        <v>0</v>
      </c>
      <c r="P61" s="257" t="str">
        <f t="shared" si="13"/>
        <v>0 0</v>
      </c>
      <c r="Q61" s="257"/>
      <c r="R61" s="258">
        <f ca="1">SUMIF(bogenpreise!$A$2:$A$22,P61,bogenpreise!$D$2:$D$21)</f>
        <v>0</v>
      </c>
      <c r="S61" s="258">
        <f t="shared" ca="1" si="14"/>
        <v>0</v>
      </c>
      <c r="T61" s="259">
        <v>48</v>
      </c>
      <c r="U61" s="260" t="str">
        <f t="shared" si="15"/>
        <v>0 0</v>
      </c>
      <c r="V61" s="261">
        <f ca="1">SUMIF(bogenpreise!$A$2:$A$22,U61,bogenpreise!$D$2:$D$21)</f>
        <v>0</v>
      </c>
      <c r="W61" s="262">
        <f t="shared" ca="1" si="1"/>
        <v>0</v>
      </c>
      <c r="Y61" s="256">
        <v>48</v>
      </c>
      <c r="Z61" s="257">
        <f t="shared" si="16"/>
        <v>0</v>
      </c>
      <c r="AA61" s="257">
        <f t="shared" si="17"/>
        <v>0</v>
      </c>
      <c r="AB61" s="257" t="str">
        <f t="shared" si="18"/>
        <v>0 0</v>
      </c>
      <c r="AC61" s="257"/>
      <c r="AD61" s="258">
        <f ca="1">SUMIF(bogenpreise!$A$2:$A$22,AB61,bogenpreise!$D$2:$D$21)</f>
        <v>0</v>
      </c>
      <c r="AE61" s="258">
        <f t="shared" ca="1" si="19"/>
        <v>0</v>
      </c>
      <c r="AF61" s="259">
        <v>48</v>
      </c>
      <c r="AG61" s="260" t="str">
        <f t="shared" si="20"/>
        <v>0 0</v>
      </c>
      <c r="AH61" s="261">
        <f ca="1">SUMIF(bogenpreise!$A$2:$A$22,AG61,bogenpreise!$D$2:$D$21)</f>
        <v>0</v>
      </c>
      <c r="AI61" s="262">
        <f t="shared" ca="1" si="2"/>
        <v>0</v>
      </c>
      <c r="AK61" s="256">
        <v>48</v>
      </c>
      <c r="AL61" s="257">
        <f t="shared" si="21"/>
        <v>0</v>
      </c>
      <c r="AM61" s="257">
        <f t="shared" si="22"/>
        <v>0</v>
      </c>
      <c r="AN61" s="257" t="str">
        <f t="shared" si="23"/>
        <v>0 0</v>
      </c>
      <c r="AO61" s="257"/>
      <c r="AP61" s="258">
        <f ca="1">SUMIF(bogenpreise!$A$2:$A$22,AN61,bogenpreise!$D$2:$D$21)</f>
        <v>0</v>
      </c>
      <c r="AQ61" s="258">
        <f t="shared" ca="1" si="24"/>
        <v>0</v>
      </c>
      <c r="AR61" s="259">
        <v>48</v>
      </c>
      <c r="AS61" s="260" t="str">
        <f t="shared" si="25"/>
        <v>0 0</v>
      </c>
      <c r="AT61" s="261">
        <f ca="1">SUMIF(bogenpreise!$A$2:$A$22,AS61,bogenpreise!$D$2:$D$21)</f>
        <v>0</v>
      </c>
      <c r="AU61" s="262">
        <f t="shared" ca="1" si="3"/>
        <v>0</v>
      </c>
      <c r="AW61" s="256">
        <v>48</v>
      </c>
      <c r="AX61" s="257">
        <f t="shared" si="26"/>
        <v>0</v>
      </c>
      <c r="AY61" s="257">
        <f t="shared" si="27"/>
        <v>0</v>
      </c>
      <c r="AZ61" s="257" t="str">
        <f t="shared" si="28"/>
        <v>0 0</v>
      </c>
      <c r="BA61" s="257"/>
      <c r="BB61" s="258">
        <f ca="1">SUMIF(bogenpreise!$A$2:$A$22,AZ61,bogenpreise!$D$2:$D$21)</f>
        <v>0</v>
      </c>
      <c r="BC61" s="258">
        <f t="shared" ca="1" si="29"/>
        <v>0</v>
      </c>
      <c r="BD61" s="259">
        <v>48</v>
      </c>
      <c r="BE61" s="260" t="str">
        <f t="shared" si="30"/>
        <v>0 0</v>
      </c>
      <c r="BF61" s="261">
        <f ca="1">SUMIF(bogenpreise!$A$2:$A$22,BE61,bogenpreise!$D$2:$D$21)</f>
        <v>0</v>
      </c>
      <c r="BG61" s="262">
        <f t="shared" ca="1" si="4"/>
        <v>0</v>
      </c>
    </row>
    <row r="62" spans="1:59" ht="17.25" customHeight="1">
      <c r="A62" s="256">
        <v>49</v>
      </c>
      <c r="B62" s="257">
        <f t="shared" si="5"/>
        <v>0</v>
      </c>
      <c r="C62" s="257">
        <f t="shared" si="6"/>
        <v>0</v>
      </c>
      <c r="D62" s="257" t="str">
        <f t="shared" si="7"/>
        <v>0 0</v>
      </c>
      <c r="E62" s="257"/>
      <c r="F62" s="258">
        <f ca="1">SUMIF(bogenpreise!$A$2:$A$22,D62,bogenpreise!$D$2:$D$21)</f>
        <v>0</v>
      </c>
      <c r="G62" s="258">
        <f t="shared" ca="1" si="8"/>
        <v>0</v>
      </c>
      <c r="H62" s="259">
        <v>49</v>
      </c>
      <c r="I62" s="260" t="str">
        <f t="shared" si="9"/>
        <v>0 0</v>
      </c>
      <c r="J62" s="261">
        <f ca="1">SUMIF(bogenpreise!$A$2:$A$22,I62,bogenpreise!$D$2:$D$21)</f>
        <v>0</v>
      </c>
      <c r="K62" s="262">
        <f t="shared" ca="1" si="10"/>
        <v>0</v>
      </c>
      <c r="M62" s="256">
        <v>49</v>
      </c>
      <c r="N62" s="257">
        <f t="shared" si="11"/>
        <v>0</v>
      </c>
      <c r="O62" s="257">
        <f t="shared" si="12"/>
        <v>0</v>
      </c>
      <c r="P62" s="257" t="str">
        <f t="shared" si="13"/>
        <v>0 0</v>
      </c>
      <c r="Q62" s="257"/>
      <c r="R62" s="258">
        <f ca="1">SUMIF(bogenpreise!$A$2:$A$22,P62,bogenpreise!$D$2:$D$21)</f>
        <v>0</v>
      </c>
      <c r="S62" s="258">
        <f t="shared" ca="1" si="14"/>
        <v>0</v>
      </c>
      <c r="T62" s="259">
        <v>49</v>
      </c>
      <c r="U62" s="260" t="str">
        <f t="shared" si="15"/>
        <v>0 0</v>
      </c>
      <c r="V62" s="261">
        <f ca="1">SUMIF(bogenpreise!$A$2:$A$22,U62,bogenpreise!$D$2:$D$21)</f>
        <v>0</v>
      </c>
      <c r="W62" s="262">
        <f t="shared" ca="1" si="1"/>
        <v>0</v>
      </c>
      <c r="Y62" s="256">
        <v>49</v>
      </c>
      <c r="Z62" s="257">
        <f t="shared" si="16"/>
        <v>0</v>
      </c>
      <c r="AA62" s="257">
        <f t="shared" si="17"/>
        <v>0</v>
      </c>
      <c r="AB62" s="257" t="str">
        <f t="shared" si="18"/>
        <v>0 0</v>
      </c>
      <c r="AC62" s="257"/>
      <c r="AD62" s="258">
        <f ca="1">SUMIF(bogenpreise!$A$2:$A$22,AB62,bogenpreise!$D$2:$D$21)</f>
        <v>0</v>
      </c>
      <c r="AE62" s="258">
        <f t="shared" ca="1" si="19"/>
        <v>0</v>
      </c>
      <c r="AF62" s="259">
        <v>49</v>
      </c>
      <c r="AG62" s="260" t="str">
        <f t="shared" si="20"/>
        <v>0 0</v>
      </c>
      <c r="AH62" s="261">
        <f ca="1">SUMIF(bogenpreise!$A$2:$A$22,AG62,bogenpreise!$D$2:$D$21)</f>
        <v>0</v>
      </c>
      <c r="AI62" s="262">
        <f t="shared" ca="1" si="2"/>
        <v>0</v>
      </c>
      <c r="AK62" s="256">
        <v>49</v>
      </c>
      <c r="AL62" s="257">
        <f t="shared" si="21"/>
        <v>0</v>
      </c>
      <c r="AM62" s="257">
        <f t="shared" si="22"/>
        <v>0</v>
      </c>
      <c r="AN62" s="257" t="str">
        <f t="shared" si="23"/>
        <v>0 0</v>
      </c>
      <c r="AO62" s="257"/>
      <c r="AP62" s="258">
        <f ca="1">SUMIF(bogenpreise!$A$2:$A$22,AN62,bogenpreise!$D$2:$D$21)</f>
        <v>0</v>
      </c>
      <c r="AQ62" s="258">
        <f t="shared" ca="1" si="24"/>
        <v>0</v>
      </c>
      <c r="AR62" s="259">
        <v>49</v>
      </c>
      <c r="AS62" s="260" t="str">
        <f t="shared" si="25"/>
        <v>0 0</v>
      </c>
      <c r="AT62" s="261">
        <f ca="1">SUMIF(bogenpreise!$A$2:$A$22,AS62,bogenpreise!$D$2:$D$21)</f>
        <v>0</v>
      </c>
      <c r="AU62" s="262">
        <f t="shared" ca="1" si="3"/>
        <v>0</v>
      </c>
      <c r="AW62" s="256">
        <v>49</v>
      </c>
      <c r="AX62" s="257">
        <f t="shared" si="26"/>
        <v>0</v>
      </c>
      <c r="AY62" s="257">
        <f t="shared" si="27"/>
        <v>0</v>
      </c>
      <c r="AZ62" s="257" t="str">
        <f t="shared" si="28"/>
        <v>0 0</v>
      </c>
      <c r="BA62" s="257"/>
      <c r="BB62" s="258">
        <f ca="1">SUMIF(bogenpreise!$A$2:$A$22,AZ62,bogenpreise!$D$2:$D$21)</f>
        <v>0</v>
      </c>
      <c r="BC62" s="258">
        <f t="shared" ca="1" si="29"/>
        <v>0</v>
      </c>
      <c r="BD62" s="259">
        <v>49</v>
      </c>
      <c r="BE62" s="260" t="str">
        <f t="shared" si="30"/>
        <v>0 0</v>
      </c>
      <c r="BF62" s="261">
        <f ca="1">SUMIF(bogenpreise!$A$2:$A$22,BE62,bogenpreise!$D$2:$D$21)</f>
        <v>0</v>
      </c>
      <c r="BG62" s="262">
        <f t="shared" ca="1" si="4"/>
        <v>0</v>
      </c>
    </row>
    <row r="63" spans="1:59" ht="17.25" customHeight="1">
      <c r="A63" s="256">
        <v>50</v>
      </c>
      <c r="B63" s="257">
        <f t="shared" si="5"/>
        <v>0</v>
      </c>
      <c r="C63" s="257">
        <f t="shared" si="6"/>
        <v>0</v>
      </c>
      <c r="D63" s="257" t="str">
        <f t="shared" si="7"/>
        <v>0 0</v>
      </c>
      <c r="E63" s="257"/>
      <c r="F63" s="258">
        <f ca="1">SUMIF(bogenpreise!$A$2:$A$22,D63,bogenpreise!$D$2:$D$21)</f>
        <v>0</v>
      </c>
      <c r="G63" s="258">
        <f t="shared" ca="1" si="8"/>
        <v>0</v>
      </c>
      <c r="H63" s="259">
        <v>50</v>
      </c>
      <c r="I63" s="260" t="str">
        <f t="shared" si="9"/>
        <v>0 0</v>
      </c>
      <c r="J63" s="261">
        <f ca="1">SUMIF(bogenpreise!$A$2:$A$22,I63,bogenpreise!$D$2:$D$21)</f>
        <v>0</v>
      </c>
      <c r="K63" s="262">
        <f t="shared" ca="1" si="10"/>
        <v>0</v>
      </c>
      <c r="M63" s="256">
        <v>50</v>
      </c>
      <c r="N63" s="257">
        <f t="shared" si="11"/>
        <v>0</v>
      </c>
      <c r="O63" s="257">
        <f t="shared" si="12"/>
        <v>0</v>
      </c>
      <c r="P63" s="257" t="str">
        <f t="shared" si="13"/>
        <v>0 0</v>
      </c>
      <c r="Q63" s="257"/>
      <c r="R63" s="258">
        <f ca="1">SUMIF(bogenpreise!$A$2:$A$22,P63,bogenpreise!$D$2:$D$21)</f>
        <v>0</v>
      </c>
      <c r="S63" s="258">
        <f t="shared" ca="1" si="14"/>
        <v>0</v>
      </c>
      <c r="T63" s="259">
        <v>50</v>
      </c>
      <c r="U63" s="260" t="str">
        <f t="shared" si="15"/>
        <v>0 0</v>
      </c>
      <c r="V63" s="261">
        <f ca="1">SUMIF(bogenpreise!$A$2:$A$22,U63,bogenpreise!$D$2:$D$21)</f>
        <v>0</v>
      </c>
      <c r="W63" s="262">
        <f t="shared" ca="1" si="1"/>
        <v>0</v>
      </c>
      <c r="Y63" s="256">
        <v>50</v>
      </c>
      <c r="Z63" s="257">
        <f t="shared" si="16"/>
        <v>0</v>
      </c>
      <c r="AA63" s="257">
        <f t="shared" si="17"/>
        <v>0</v>
      </c>
      <c r="AB63" s="257" t="str">
        <f t="shared" si="18"/>
        <v>0 0</v>
      </c>
      <c r="AC63" s="257"/>
      <c r="AD63" s="258">
        <f ca="1">SUMIF(bogenpreise!$A$2:$A$22,AB63,bogenpreise!$D$2:$D$21)</f>
        <v>0</v>
      </c>
      <c r="AE63" s="258">
        <f t="shared" ca="1" si="19"/>
        <v>0</v>
      </c>
      <c r="AF63" s="259">
        <v>50</v>
      </c>
      <c r="AG63" s="260" t="str">
        <f t="shared" si="20"/>
        <v>0 0</v>
      </c>
      <c r="AH63" s="261">
        <f ca="1">SUMIF(bogenpreise!$A$2:$A$22,AG63,bogenpreise!$D$2:$D$21)</f>
        <v>0</v>
      </c>
      <c r="AI63" s="262">
        <f t="shared" ca="1" si="2"/>
        <v>0</v>
      </c>
      <c r="AK63" s="256">
        <v>50</v>
      </c>
      <c r="AL63" s="257">
        <f t="shared" si="21"/>
        <v>0</v>
      </c>
      <c r="AM63" s="257">
        <f t="shared" si="22"/>
        <v>0</v>
      </c>
      <c r="AN63" s="257" t="str">
        <f t="shared" si="23"/>
        <v>0 0</v>
      </c>
      <c r="AO63" s="257"/>
      <c r="AP63" s="258">
        <f ca="1">SUMIF(bogenpreise!$A$2:$A$22,AN63,bogenpreise!$D$2:$D$21)</f>
        <v>0</v>
      </c>
      <c r="AQ63" s="258">
        <f t="shared" ca="1" si="24"/>
        <v>0</v>
      </c>
      <c r="AR63" s="259">
        <v>50</v>
      </c>
      <c r="AS63" s="260" t="str">
        <f t="shared" si="25"/>
        <v>0 0</v>
      </c>
      <c r="AT63" s="261">
        <f ca="1">SUMIF(bogenpreise!$A$2:$A$22,AS63,bogenpreise!$D$2:$D$21)</f>
        <v>0</v>
      </c>
      <c r="AU63" s="262">
        <f t="shared" ca="1" si="3"/>
        <v>0</v>
      </c>
      <c r="AW63" s="256">
        <v>50</v>
      </c>
      <c r="AX63" s="257">
        <f t="shared" si="26"/>
        <v>0</v>
      </c>
      <c r="AY63" s="257">
        <f t="shared" si="27"/>
        <v>0</v>
      </c>
      <c r="AZ63" s="257" t="str">
        <f t="shared" si="28"/>
        <v>0 0</v>
      </c>
      <c r="BA63" s="257"/>
      <c r="BB63" s="258">
        <f ca="1">SUMIF(bogenpreise!$A$2:$A$22,AZ63,bogenpreise!$D$2:$D$21)</f>
        <v>0</v>
      </c>
      <c r="BC63" s="258">
        <f t="shared" ca="1" si="29"/>
        <v>0</v>
      </c>
      <c r="BD63" s="259">
        <v>50</v>
      </c>
      <c r="BE63" s="260" t="str">
        <f t="shared" si="30"/>
        <v>0 0</v>
      </c>
      <c r="BF63" s="261">
        <f ca="1">SUMIF(bogenpreise!$A$2:$A$22,BE63,bogenpreise!$D$2:$D$21)</f>
        <v>0</v>
      </c>
      <c r="BG63" s="262">
        <f t="shared" ca="1" si="4"/>
        <v>0</v>
      </c>
    </row>
    <row r="65" spans="6:60" ht="17.25" customHeight="1">
      <c r="F65" s="2"/>
      <c r="G65" s="2"/>
      <c r="H65" s="2"/>
      <c r="I65" s="3"/>
      <c r="L65" s="3"/>
      <c r="R65" s="2"/>
      <c r="S65" s="2"/>
      <c r="T65" s="2"/>
      <c r="U65" s="3"/>
      <c r="X65" s="3"/>
      <c r="AD65" s="2"/>
      <c r="AE65" s="2"/>
      <c r="AF65" s="2"/>
      <c r="AG65" s="3"/>
      <c r="AJ65" s="3"/>
      <c r="AP65" s="2"/>
      <c r="AQ65" s="2"/>
      <c r="AR65" s="2"/>
      <c r="AS65" s="3"/>
      <c r="AV65" s="3"/>
      <c r="BB65" s="2"/>
      <c r="BC65" s="2"/>
      <c r="BD65" s="2"/>
      <c r="BE65" s="3"/>
      <c r="BH65" s="3"/>
    </row>
    <row r="66" spans="6:60" ht="17.25" customHeight="1">
      <c r="F66" s="2"/>
      <c r="G66" s="2"/>
      <c r="H66" s="2"/>
      <c r="I66" s="3"/>
      <c r="L66" s="3"/>
      <c r="R66" s="2"/>
      <c r="S66" s="2"/>
      <c r="T66" s="2"/>
      <c r="U66" s="3"/>
      <c r="X66" s="3"/>
      <c r="AD66" s="2"/>
      <c r="AE66" s="2"/>
      <c r="AF66" s="2"/>
      <c r="AG66" s="3"/>
      <c r="AJ66" s="3"/>
      <c r="AP66" s="2"/>
      <c r="AQ66" s="2"/>
      <c r="AR66" s="2"/>
      <c r="AS66" s="3"/>
      <c r="AV66" s="3"/>
      <c r="BB66" s="2"/>
      <c r="BC66" s="2"/>
      <c r="BD66" s="2"/>
      <c r="BE66" s="3"/>
      <c r="BH66" s="3"/>
    </row>
    <row r="67" spans="6:60" ht="17.25" customHeight="1">
      <c r="F67" s="2"/>
      <c r="G67" s="2"/>
      <c r="H67" s="2"/>
      <c r="I67" s="3"/>
      <c r="L67" s="3"/>
      <c r="R67" s="2"/>
      <c r="S67" s="2"/>
      <c r="T67" s="2"/>
      <c r="U67" s="3"/>
      <c r="X67" s="3"/>
      <c r="AD67" s="2"/>
      <c r="AE67" s="2"/>
      <c r="AF67" s="2"/>
      <c r="AG67" s="3"/>
      <c r="AJ67" s="3"/>
      <c r="AP67" s="2"/>
      <c r="AQ67" s="2"/>
      <c r="AR67" s="2"/>
      <c r="AS67" s="3"/>
      <c r="AV67" s="3"/>
      <c r="BB67" s="2"/>
      <c r="BC67" s="2"/>
      <c r="BD67" s="2"/>
      <c r="BE67" s="3"/>
      <c r="BH67" s="3"/>
    </row>
    <row r="68" spans="6:60" ht="17.25" customHeight="1">
      <c r="F68" s="2"/>
      <c r="G68" s="2"/>
      <c r="H68" s="2"/>
      <c r="I68" s="3"/>
      <c r="L68" s="3"/>
      <c r="R68" s="2"/>
      <c r="S68" s="2"/>
      <c r="T68" s="2"/>
      <c r="U68" s="3"/>
      <c r="X68" s="3"/>
      <c r="AD68" s="2"/>
      <c r="AE68" s="2"/>
      <c r="AF68" s="2"/>
      <c r="AG68" s="3"/>
      <c r="AJ68" s="3"/>
      <c r="AP68" s="2"/>
      <c r="AQ68" s="2"/>
      <c r="AR68" s="2"/>
      <c r="AS68" s="3"/>
      <c r="AV68" s="3"/>
      <c r="BB68" s="2"/>
      <c r="BC68" s="2"/>
      <c r="BD68" s="2"/>
      <c r="BE68" s="3"/>
      <c r="BH68" s="3"/>
    </row>
    <row r="69" spans="6:60" ht="17.25" customHeight="1">
      <c r="F69" s="2"/>
      <c r="G69" s="2"/>
      <c r="H69" s="2"/>
      <c r="I69" s="3"/>
      <c r="L69" s="3"/>
      <c r="R69" s="2"/>
      <c r="S69" s="2"/>
      <c r="T69" s="2"/>
      <c r="U69" s="3"/>
      <c r="X69" s="3"/>
      <c r="AD69" s="2"/>
      <c r="AE69" s="2"/>
      <c r="AF69" s="2"/>
      <c r="AG69" s="3"/>
      <c r="AJ69" s="3"/>
      <c r="AP69" s="2"/>
      <c r="AQ69" s="2"/>
      <c r="AR69" s="2"/>
      <c r="AS69" s="3"/>
      <c r="AV69" s="3"/>
      <c r="BB69" s="2"/>
      <c r="BC69" s="2"/>
      <c r="BD69" s="2"/>
      <c r="BE69" s="3"/>
      <c r="BH69" s="3"/>
    </row>
    <row r="70" spans="6:60" ht="17.25" customHeight="1">
      <c r="F70" s="2"/>
      <c r="G70" s="2"/>
      <c r="H70" s="2"/>
      <c r="I70" s="3"/>
      <c r="L70" s="3"/>
      <c r="R70" s="2"/>
      <c r="S70" s="2"/>
      <c r="T70" s="2"/>
      <c r="U70" s="3"/>
      <c r="X70" s="3"/>
      <c r="AD70" s="2"/>
      <c r="AE70" s="2"/>
      <c r="AF70" s="2"/>
      <c r="AG70" s="3"/>
      <c r="AJ70" s="3"/>
      <c r="AP70" s="2"/>
      <c r="AQ70" s="2"/>
      <c r="AR70" s="2"/>
      <c r="AS70" s="3"/>
      <c r="AV70" s="3"/>
      <c r="BB70" s="2"/>
      <c r="BC70" s="2"/>
      <c r="BD70" s="2"/>
      <c r="BE70" s="3"/>
      <c r="BH70" s="3"/>
    </row>
    <row r="71" spans="6:60" ht="17.25" customHeight="1">
      <c r="F71" s="2"/>
      <c r="G71" s="2"/>
      <c r="H71" s="2"/>
      <c r="I71" s="3"/>
      <c r="L71" s="3"/>
      <c r="R71" s="2"/>
      <c r="S71" s="2"/>
      <c r="T71" s="2"/>
      <c r="U71" s="3"/>
      <c r="X71" s="3"/>
      <c r="AD71" s="2"/>
      <c r="AE71" s="2"/>
      <c r="AF71" s="2"/>
      <c r="AG71" s="3"/>
      <c r="AJ71" s="3"/>
      <c r="AP71" s="2"/>
      <c r="AQ71" s="2"/>
      <c r="AR71" s="2"/>
      <c r="AS71" s="3"/>
      <c r="AV71" s="3"/>
      <c r="BB71" s="2"/>
      <c r="BC71" s="2"/>
      <c r="BD71" s="2"/>
      <c r="BE71" s="3"/>
      <c r="BH71" s="3"/>
    </row>
    <row r="72" spans="6:60" ht="17.25" customHeight="1">
      <c r="F72" s="2"/>
      <c r="G72" s="2"/>
      <c r="H72" s="2"/>
      <c r="I72" s="3"/>
      <c r="L72" s="3"/>
      <c r="R72" s="2"/>
      <c r="S72" s="2"/>
      <c r="T72" s="2"/>
      <c r="U72" s="3"/>
      <c r="X72" s="3"/>
      <c r="AD72" s="2"/>
      <c r="AE72" s="2"/>
      <c r="AF72" s="2"/>
      <c r="AG72" s="3"/>
      <c r="AJ72" s="3"/>
      <c r="AP72" s="2"/>
      <c r="AQ72" s="2"/>
      <c r="AR72" s="2"/>
      <c r="AS72" s="3"/>
      <c r="AV72" s="3"/>
      <c r="BB72" s="2"/>
      <c r="BC72" s="2"/>
      <c r="BD72" s="2"/>
      <c r="BE72" s="3"/>
      <c r="BH72" s="3"/>
    </row>
    <row r="73" spans="6:60" ht="17.25" customHeight="1">
      <c r="F73" s="2"/>
      <c r="G73" s="2"/>
      <c r="H73" s="2"/>
      <c r="I73" s="3"/>
      <c r="L73" s="3"/>
      <c r="R73" s="2"/>
      <c r="S73" s="2"/>
      <c r="T73" s="2"/>
      <c r="U73" s="3"/>
      <c r="X73" s="3"/>
      <c r="AD73" s="2"/>
      <c r="AE73" s="2"/>
      <c r="AF73" s="2"/>
      <c r="AG73" s="3"/>
      <c r="AJ73" s="3"/>
      <c r="AP73" s="2"/>
      <c r="AQ73" s="2"/>
      <c r="AR73" s="2"/>
      <c r="AS73" s="3"/>
      <c r="AV73" s="3"/>
      <c r="BB73" s="2"/>
      <c r="BC73" s="2"/>
      <c r="BD73" s="2"/>
      <c r="BE73" s="3"/>
      <c r="BH73" s="3"/>
    </row>
    <row r="74" spans="6:60" ht="17.25" customHeight="1">
      <c r="F74" s="2"/>
      <c r="G74" s="2"/>
      <c r="H74" s="2"/>
      <c r="I74" s="3"/>
      <c r="L74" s="3"/>
      <c r="R74" s="2"/>
      <c r="S74" s="2"/>
      <c r="T74" s="2"/>
      <c r="U74" s="3"/>
      <c r="X74" s="3"/>
      <c r="AD74" s="2"/>
      <c r="AE74" s="2"/>
      <c r="AF74" s="2"/>
      <c r="AG74" s="3"/>
      <c r="AJ74" s="3"/>
      <c r="AP74" s="2"/>
      <c r="AQ74" s="2"/>
      <c r="AR74" s="2"/>
      <c r="AS74" s="3"/>
      <c r="AV74" s="3"/>
      <c r="BB74" s="2"/>
      <c r="BC74" s="2"/>
      <c r="BD74" s="2"/>
      <c r="BE74" s="3"/>
      <c r="BH74" s="3"/>
    </row>
    <row r="75" spans="6:60" ht="17.25" customHeight="1">
      <c r="F75" s="2"/>
      <c r="G75" s="2"/>
      <c r="H75" s="2"/>
      <c r="I75" s="3"/>
      <c r="L75" s="3"/>
      <c r="R75" s="2"/>
      <c r="S75" s="2"/>
      <c r="T75" s="2"/>
      <c r="U75" s="3"/>
      <c r="X75" s="3"/>
      <c r="AD75" s="2"/>
      <c r="AE75" s="2"/>
      <c r="AF75" s="2"/>
      <c r="AG75" s="3"/>
      <c r="AJ75" s="3"/>
      <c r="AP75" s="2"/>
      <c r="AQ75" s="2"/>
      <c r="AR75" s="2"/>
      <c r="AS75" s="3"/>
      <c r="AV75" s="3"/>
      <c r="BB75" s="2"/>
      <c r="BC75" s="2"/>
      <c r="BD75" s="2"/>
      <c r="BE75" s="3"/>
      <c r="BH75" s="3"/>
    </row>
    <row r="76" spans="6:60" ht="17.25" customHeight="1">
      <c r="F76" s="2"/>
      <c r="G76" s="2"/>
      <c r="H76" s="2"/>
      <c r="I76" s="3"/>
      <c r="L76" s="3"/>
      <c r="R76" s="2"/>
      <c r="S76" s="2"/>
      <c r="T76" s="2"/>
      <c r="U76" s="3"/>
      <c r="X76" s="3"/>
      <c r="AD76" s="2"/>
      <c r="AE76" s="2"/>
      <c r="AF76" s="2"/>
      <c r="AG76" s="3"/>
      <c r="AJ76" s="3"/>
      <c r="AP76" s="2"/>
      <c r="AQ76" s="2"/>
      <c r="AR76" s="2"/>
      <c r="AS76" s="3"/>
      <c r="AV76" s="3"/>
      <c r="BB76" s="2"/>
      <c r="BC76" s="2"/>
      <c r="BD76" s="2"/>
      <c r="BE76" s="3"/>
      <c r="BH76" s="3"/>
    </row>
    <row r="77" spans="6:60" ht="17.25" customHeight="1">
      <c r="F77" s="2"/>
      <c r="G77" s="2"/>
      <c r="H77" s="2"/>
      <c r="I77" s="3"/>
      <c r="L77" s="3"/>
      <c r="R77" s="2"/>
      <c r="S77" s="2"/>
      <c r="T77" s="2"/>
      <c r="U77" s="3"/>
      <c r="X77" s="3"/>
      <c r="AD77" s="2"/>
      <c r="AE77" s="2"/>
      <c r="AF77" s="2"/>
      <c r="AG77" s="3"/>
      <c r="AJ77" s="3"/>
      <c r="AP77" s="2"/>
      <c r="AQ77" s="2"/>
      <c r="AR77" s="2"/>
      <c r="AS77" s="3"/>
      <c r="AV77" s="3"/>
      <c r="BB77" s="2"/>
      <c r="BC77" s="2"/>
      <c r="BD77" s="2"/>
      <c r="BE77" s="3"/>
      <c r="BH77" s="3"/>
    </row>
    <row r="78" spans="6:60" ht="17.25" customHeight="1">
      <c r="F78" s="2"/>
      <c r="G78" s="2"/>
      <c r="H78" s="2"/>
      <c r="I78" s="3"/>
      <c r="L78" s="3"/>
      <c r="R78" s="2"/>
      <c r="S78" s="2"/>
      <c r="T78" s="2"/>
      <c r="U78" s="3"/>
      <c r="X78" s="3"/>
      <c r="AD78" s="2"/>
      <c r="AE78" s="2"/>
      <c r="AF78" s="2"/>
      <c r="AG78" s="3"/>
      <c r="AJ78" s="3"/>
      <c r="AP78" s="2"/>
      <c r="AQ78" s="2"/>
      <c r="AR78" s="2"/>
      <c r="AS78" s="3"/>
      <c r="AV78" s="3"/>
      <c r="BB78" s="2"/>
      <c r="BC78" s="2"/>
      <c r="BD78" s="2"/>
      <c r="BE78" s="3"/>
      <c r="BH78" s="3"/>
    </row>
    <row r="79" spans="6:60" ht="17.25" customHeight="1">
      <c r="F79" s="2"/>
      <c r="G79" s="2"/>
      <c r="H79" s="2"/>
      <c r="I79" s="3"/>
      <c r="L79" s="3"/>
      <c r="R79" s="2"/>
      <c r="S79" s="2"/>
      <c r="T79" s="2"/>
      <c r="U79" s="3"/>
      <c r="X79" s="3"/>
      <c r="AD79" s="2"/>
      <c r="AE79" s="2"/>
      <c r="AF79" s="2"/>
      <c r="AG79" s="3"/>
      <c r="AJ79" s="3"/>
      <c r="AP79" s="2"/>
      <c r="AQ79" s="2"/>
      <c r="AR79" s="2"/>
      <c r="AS79" s="3"/>
      <c r="AV79" s="3"/>
      <c r="BB79" s="2"/>
      <c r="BC79" s="2"/>
      <c r="BD79" s="2"/>
      <c r="BE79" s="3"/>
      <c r="BH79" s="3"/>
    </row>
    <row r="80" spans="6:60" ht="17.25" customHeight="1">
      <c r="F80" s="2"/>
      <c r="G80" s="2"/>
      <c r="H80" s="2"/>
      <c r="I80" s="3"/>
      <c r="L80" s="3"/>
      <c r="R80" s="2"/>
      <c r="S80" s="2"/>
      <c r="T80" s="2"/>
      <c r="U80" s="3"/>
      <c r="X80" s="3"/>
      <c r="AD80" s="2"/>
      <c r="AE80" s="2"/>
      <c r="AF80" s="2"/>
      <c r="AG80" s="3"/>
      <c r="AJ80" s="3"/>
      <c r="AP80" s="2"/>
      <c r="AQ80" s="2"/>
      <c r="AR80" s="2"/>
      <c r="AS80" s="3"/>
      <c r="AV80" s="3"/>
      <c r="BB80" s="2"/>
      <c r="BC80" s="2"/>
      <c r="BD80" s="2"/>
      <c r="BE80" s="3"/>
      <c r="BH80" s="3"/>
    </row>
    <row r="81" spans="6:60" ht="17.25" customHeight="1">
      <c r="F81" s="2"/>
      <c r="G81" s="2"/>
      <c r="H81" s="2"/>
      <c r="I81" s="3"/>
      <c r="L81" s="3"/>
      <c r="R81" s="2"/>
      <c r="S81" s="2"/>
      <c r="T81" s="2"/>
      <c r="U81" s="3"/>
      <c r="X81" s="3"/>
      <c r="AD81" s="2"/>
      <c r="AE81" s="2"/>
      <c r="AF81" s="2"/>
      <c r="AG81" s="3"/>
      <c r="AJ81" s="3"/>
      <c r="AP81" s="2"/>
      <c r="AQ81" s="2"/>
      <c r="AR81" s="2"/>
      <c r="AS81" s="3"/>
      <c r="AV81" s="3"/>
      <c r="BB81" s="2"/>
      <c r="BC81" s="2"/>
      <c r="BD81" s="2"/>
      <c r="BE81" s="3"/>
      <c r="BH81" s="3"/>
    </row>
    <row r="82" spans="6:60" ht="17.25" customHeight="1">
      <c r="F82" s="2"/>
      <c r="G82" s="2"/>
      <c r="H82" s="2"/>
      <c r="I82" s="3"/>
      <c r="L82" s="3"/>
      <c r="R82" s="2"/>
      <c r="S82" s="2"/>
      <c r="T82" s="2"/>
      <c r="U82" s="3"/>
      <c r="X82" s="3"/>
      <c r="AD82" s="2"/>
      <c r="AE82" s="2"/>
      <c r="AF82" s="2"/>
      <c r="AG82" s="3"/>
      <c r="AJ82" s="3"/>
      <c r="AP82" s="2"/>
      <c r="AQ82" s="2"/>
      <c r="AR82" s="2"/>
      <c r="AS82" s="3"/>
      <c r="AV82" s="3"/>
      <c r="BB82" s="2"/>
      <c r="BC82" s="2"/>
      <c r="BD82" s="2"/>
      <c r="BE82" s="3"/>
      <c r="BH82" s="3"/>
    </row>
    <row r="83" spans="6:60" ht="17.25" customHeight="1">
      <c r="F83" s="2"/>
      <c r="G83" s="2"/>
      <c r="H83" s="2"/>
      <c r="I83" s="3"/>
      <c r="L83" s="3"/>
      <c r="R83" s="2"/>
      <c r="S83" s="2"/>
      <c r="T83" s="2"/>
      <c r="U83" s="3"/>
      <c r="X83" s="3"/>
      <c r="AD83" s="2"/>
      <c r="AE83" s="2"/>
      <c r="AF83" s="2"/>
      <c r="AG83" s="3"/>
      <c r="AJ83" s="3"/>
      <c r="AP83" s="2"/>
      <c r="AQ83" s="2"/>
      <c r="AR83" s="2"/>
      <c r="AS83" s="3"/>
      <c r="AV83" s="3"/>
      <c r="BB83" s="2"/>
      <c r="BC83" s="2"/>
      <c r="BD83" s="2"/>
      <c r="BE83" s="3"/>
      <c r="BH83" s="3"/>
    </row>
    <row r="84" spans="6:60" ht="17.25" customHeight="1">
      <c r="F84" s="2"/>
      <c r="G84" s="2"/>
      <c r="H84" s="2"/>
      <c r="I84" s="3"/>
      <c r="L84" s="3"/>
      <c r="R84" s="2"/>
      <c r="S84" s="2"/>
      <c r="T84" s="2"/>
      <c r="U84" s="3"/>
      <c r="X84" s="3"/>
      <c r="AD84" s="2"/>
      <c r="AE84" s="2"/>
      <c r="AF84" s="2"/>
      <c r="AG84" s="3"/>
      <c r="AJ84" s="3"/>
      <c r="AP84" s="2"/>
      <c r="AQ84" s="2"/>
      <c r="AR84" s="2"/>
      <c r="AS84" s="3"/>
      <c r="AV84" s="3"/>
      <c r="BB84" s="2"/>
      <c r="BC84" s="2"/>
      <c r="BD84" s="2"/>
      <c r="BE84" s="3"/>
      <c r="BH84" s="3"/>
    </row>
    <row r="85" spans="6:60" ht="17.25" customHeight="1">
      <c r="F85" s="2"/>
      <c r="G85" s="2"/>
      <c r="H85" s="2"/>
      <c r="I85" s="3"/>
      <c r="L85" s="3"/>
      <c r="R85" s="2"/>
      <c r="S85" s="2"/>
      <c r="T85" s="2"/>
      <c r="U85" s="3"/>
      <c r="X85" s="3"/>
      <c r="AD85" s="2"/>
      <c r="AE85" s="2"/>
      <c r="AF85" s="2"/>
      <c r="AG85" s="3"/>
      <c r="AJ85" s="3"/>
      <c r="AP85" s="2"/>
      <c r="AQ85" s="2"/>
      <c r="AR85" s="2"/>
      <c r="AS85" s="3"/>
      <c r="AV85" s="3"/>
      <c r="BB85" s="2"/>
      <c r="BC85" s="2"/>
      <c r="BD85" s="2"/>
      <c r="BE85" s="3"/>
      <c r="BH85" s="3"/>
    </row>
    <row r="86" spans="6:60" ht="17.25" customHeight="1">
      <c r="F86" s="2"/>
      <c r="G86" s="2"/>
      <c r="H86" s="2"/>
      <c r="I86" s="3"/>
      <c r="L86" s="3"/>
      <c r="R86" s="2"/>
      <c r="S86" s="2"/>
      <c r="T86" s="2"/>
      <c r="U86" s="3"/>
      <c r="X86" s="3"/>
      <c r="AD86" s="2"/>
      <c r="AE86" s="2"/>
      <c r="AF86" s="2"/>
      <c r="AG86" s="3"/>
      <c r="AJ86" s="3"/>
      <c r="AP86" s="2"/>
      <c r="AQ86" s="2"/>
      <c r="AR86" s="2"/>
      <c r="AS86" s="3"/>
      <c r="AV86" s="3"/>
      <c r="BB86" s="2"/>
      <c r="BC86" s="2"/>
      <c r="BD86" s="2"/>
      <c r="BE86" s="3"/>
      <c r="BH86" s="3"/>
    </row>
    <row r="87" spans="6:60" ht="17.25" customHeight="1">
      <c r="F87" s="2"/>
      <c r="G87" s="2"/>
      <c r="H87" s="2"/>
      <c r="I87" s="3"/>
      <c r="L87" s="3"/>
      <c r="R87" s="2"/>
      <c r="S87" s="2"/>
      <c r="T87" s="2"/>
      <c r="U87" s="3"/>
      <c r="X87" s="3"/>
      <c r="AD87" s="2"/>
      <c r="AE87" s="2"/>
      <c r="AF87" s="2"/>
      <c r="AG87" s="3"/>
      <c r="AJ87" s="3"/>
      <c r="AP87" s="2"/>
      <c r="AQ87" s="2"/>
      <c r="AR87" s="2"/>
      <c r="AS87" s="3"/>
      <c r="AV87" s="3"/>
      <c r="BB87" s="2"/>
      <c r="BC87" s="2"/>
      <c r="BD87" s="2"/>
      <c r="BE87" s="3"/>
      <c r="BH87" s="3"/>
    </row>
    <row r="88" spans="6:60" ht="17.25" customHeight="1">
      <c r="F88" s="2"/>
      <c r="G88" s="2"/>
      <c r="H88" s="2"/>
      <c r="I88" s="3"/>
      <c r="L88" s="3"/>
      <c r="R88" s="2"/>
      <c r="S88" s="2"/>
      <c r="T88" s="2"/>
      <c r="U88" s="3"/>
      <c r="X88" s="3"/>
      <c r="AD88" s="2"/>
      <c r="AE88" s="2"/>
      <c r="AF88" s="2"/>
      <c r="AG88" s="3"/>
      <c r="AJ88" s="3"/>
      <c r="AP88" s="2"/>
      <c r="AQ88" s="2"/>
      <c r="AR88" s="2"/>
      <c r="AS88" s="3"/>
      <c r="AV88" s="3"/>
      <c r="BB88" s="2"/>
      <c r="BC88" s="2"/>
      <c r="BD88" s="2"/>
      <c r="BE88" s="3"/>
      <c r="BH88" s="3"/>
    </row>
    <row r="89" spans="6:60" ht="17.25" customHeight="1">
      <c r="F89" s="2"/>
      <c r="G89" s="2"/>
      <c r="H89" s="2"/>
      <c r="I89" s="3"/>
      <c r="L89" s="3"/>
      <c r="R89" s="2"/>
      <c r="S89" s="2"/>
      <c r="T89" s="2"/>
      <c r="U89" s="3"/>
      <c r="X89" s="3"/>
      <c r="AD89" s="2"/>
      <c r="AE89" s="2"/>
      <c r="AF89" s="2"/>
      <c r="AG89" s="3"/>
      <c r="AJ89" s="3"/>
      <c r="AP89" s="2"/>
      <c r="AQ89" s="2"/>
      <c r="AR89" s="2"/>
      <c r="AS89" s="3"/>
      <c r="AV89" s="3"/>
      <c r="BB89" s="2"/>
      <c r="BC89" s="2"/>
      <c r="BD89" s="2"/>
      <c r="BE89" s="3"/>
      <c r="BH89" s="3"/>
    </row>
    <row r="90" spans="6:60" ht="17.25" customHeight="1">
      <c r="F90" s="2"/>
      <c r="G90" s="2"/>
      <c r="H90" s="2"/>
      <c r="I90" s="3"/>
      <c r="L90" s="3"/>
      <c r="R90" s="2"/>
      <c r="S90" s="2"/>
      <c r="T90" s="2"/>
      <c r="U90" s="3"/>
      <c r="X90" s="3"/>
      <c r="AD90" s="2"/>
      <c r="AE90" s="2"/>
      <c r="AF90" s="2"/>
      <c r="AG90" s="3"/>
      <c r="AJ90" s="3"/>
      <c r="AP90" s="2"/>
      <c r="AQ90" s="2"/>
      <c r="AR90" s="2"/>
      <c r="AS90" s="3"/>
      <c r="AV90" s="3"/>
      <c r="BB90" s="2"/>
      <c r="BC90" s="2"/>
      <c r="BD90" s="2"/>
      <c r="BE90" s="3"/>
      <c r="BH90" s="3"/>
    </row>
    <row r="91" spans="6:60" ht="17.25" customHeight="1">
      <c r="F91" s="2"/>
      <c r="G91" s="2"/>
      <c r="H91" s="2"/>
      <c r="I91" s="3"/>
      <c r="L91" s="3"/>
      <c r="R91" s="2"/>
      <c r="S91" s="2"/>
      <c r="T91" s="2"/>
      <c r="U91" s="3"/>
      <c r="X91" s="3"/>
      <c r="AD91" s="2"/>
      <c r="AE91" s="2"/>
      <c r="AF91" s="2"/>
      <c r="AG91" s="3"/>
      <c r="AJ91" s="3"/>
      <c r="AP91" s="2"/>
      <c r="AQ91" s="2"/>
      <c r="AR91" s="2"/>
      <c r="AS91" s="3"/>
      <c r="AV91" s="3"/>
      <c r="BB91" s="2"/>
      <c r="BC91" s="2"/>
      <c r="BD91" s="2"/>
      <c r="BE91" s="3"/>
      <c r="BH91" s="3"/>
    </row>
    <row r="92" spans="6:60" ht="17.25" customHeight="1">
      <c r="F92" s="2"/>
      <c r="G92" s="2"/>
      <c r="H92" s="2"/>
      <c r="I92" s="3"/>
      <c r="L92" s="3"/>
      <c r="R92" s="2"/>
      <c r="S92" s="2"/>
      <c r="T92" s="2"/>
      <c r="U92" s="3"/>
      <c r="X92" s="3"/>
      <c r="AD92" s="2"/>
      <c r="AE92" s="2"/>
      <c r="AF92" s="2"/>
      <c r="AG92" s="3"/>
      <c r="AJ92" s="3"/>
      <c r="AP92" s="2"/>
      <c r="AQ92" s="2"/>
      <c r="AR92" s="2"/>
      <c r="AS92" s="3"/>
      <c r="AV92" s="3"/>
      <c r="BB92" s="2"/>
      <c r="BC92" s="2"/>
      <c r="BD92" s="2"/>
      <c r="BE92" s="3"/>
      <c r="BH92" s="3"/>
    </row>
    <row r="93" spans="6:60" ht="17.25" customHeight="1">
      <c r="F93" s="2"/>
      <c r="G93" s="2"/>
      <c r="H93" s="2"/>
      <c r="I93" s="3"/>
      <c r="L93" s="3"/>
      <c r="R93" s="2"/>
      <c r="S93" s="2"/>
      <c r="T93" s="2"/>
      <c r="U93" s="3"/>
      <c r="X93" s="3"/>
      <c r="AD93" s="2"/>
      <c r="AE93" s="2"/>
      <c r="AF93" s="2"/>
      <c r="AG93" s="3"/>
      <c r="AJ93" s="3"/>
      <c r="AP93" s="2"/>
      <c r="AQ93" s="2"/>
      <c r="AR93" s="2"/>
      <c r="AS93" s="3"/>
      <c r="AV93" s="3"/>
      <c r="BB93" s="2"/>
      <c r="BC93" s="2"/>
      <c r="BD93" s="2"/>
      <c r="BE93" s="3"/>
      <c r="BH93" s="3"/>
    </row>
    <row r="94" spans="6:60" ht="17.25" customHeight="1">
      <c r="F94" s="2"/>
      <c r="G94" s="2"/>
      <c r="H94" s="2"/>
      <c r="I94" s="3"/>
      <c r="L94" s="3"/>
      <c r="R94" s="2"/>
      <c r="S94" s="2"/>
      <c r="T94" s="2"/>
      <c r="U94" s="3"/>
      <c r="X94" s="3"/>
      <c r="AD94" s="2"/>
      <c r="AE94" s="2"/>
      <c r="AF94" s="2"/>
      <c r="AG94" s="3"/>
      <c r="AJ94" s="3"/>
      <c r="AP94" s="2"/>
      <c r="AQ94" s="2"/>
      <c r="AR94" s="2"/>
      <c r="AS94" s="3"/>
      <c r="AV94" s="3"/>
      <c r="BB94" s="2"/>
      <c r="BC94" s="2"/>
      <c r="BD94" s="2"/>
      <c r="BE94" s="3"/>
      <c r="BH94" s="3"/>
    </row>
    <row r="95" spans="6:60" ht="17.25" customHeight="1">
      <c r="F95" s="2"/>
      <c r="G95" s="2"/>
      <c r="H95" s="2"/>
      <c r="I95" s="3"/>
      <c r="L95" s="3"/>
      <c r="R95" s="2"/>
      <c r="S95" s="2"/>
      <c r="T95" s="2"/>
      <c r="U95" s="3"/>
      <c r="X95" s="3"/>
      <c r="AD95" s="2"/>
      <c r="AE95" s="2"/>
      <c r="AF95" s="2"/>
      <c r="AG95" s="3"/>
      <c r="AJ95" s="3"/>
      <c r="AP95" s="2"/>
      <c r="AQ95" s="2"/>
      <c r="AR95" s="2"/>
      <c r="AS95" s="3"/>
      <c r="AV95" s="3"/>
      <c r="BB95" s="2"/>
      <c r="BC95" s="2"/>
      <c r="BD95" s="2"/>
      <c r="BE95" s="3"/>
      <c r="BH95" s="3"/>
    </row>
    <row r="96" spans="6:60" ht="17.25" customHeight="1">
      <c r="F96" s="2"/>
      <c r="G96" s="2"/>
      <c r="H96" s="2"/>
      <c r="I96" s="3"/>
      <c r="L96" s="3"/>
      <c r="R96" s="2"/>
      <c r="S96" s="2"/>
      <c r="T96" s="2"/>
      <c r="U96" s="3"/>
      <c r="X96" s="3"/>
      <c r="AD96" s="2"/>
      <c r="AE96" s="2"/>
      <c r="AF96" s="2"/>
      <c r="AG96" s="3"/>
      <c r="AJ96" s="3"/>
      <c r="AP96" s="2"/>
      <c r="AQ96" s="2"/>
      <c r="AR96" s="2"/>
      <c r="AS96" s="3"/>
      <c r="AV96" s="3"/>
      <c r="BB96" s="2"/>
      <c r="BC96" s="2"/>
      <c r="BD96" s="2"/>
      <c r="BE96" s="3"/>
      <c r="BH96" s="3"/>
    </row>
    <row r="97" spans="6:60" ht="17.25" customHeight="1">
      <c r="F97" s="2"/>
      <c r="G97" s="2"/>
      <c r="H97" s="2"/>
      <c r="I97" s="3"/>
      <c r="L97" s="3"/>
      <c r="R97" s="2"/>
      <c r="S97" s="2"/>
      <c r="T97" s="2"/>
      <c r="U97" s="3"/>
      <c r="X97" s="3"/>
      <c r="AD97" s="2"/>
      <c r="AE97" s="2"/>
      <c r="AF97" s="2"/>
      <c r="AG97" s="3"/>
      <c r="AJ97" s="3"/>
      <c r="AP97" s="2"/>
      <c r="AQ97" s="2"/>
      <c r="AR97" s="2"/>
      <c r="AS97" s="3"/>
      <c r="AV97" s="3"/>
      <c r="BB97" s="2"/>
      <c r="BC97" s="2"/>
      <c r="BD97" s="2"/>
      <c r="BE97" s="3"/>
      <c r="BH97" s="3"/>
    </row>
    <row r="98" spans="6:60" ht="17.25" customHeight="1">
      <c r="F98" s="2"/>
      <c r="G98" s="2"/>
      <c r="H98" s="2"/>
      <c r="I98" s="3"/>
      <c r="L98" s="3"/>
      <c r="R98" s="2"/>
      <c r="S98" s="2"/>
      <c r="T98" s="2"/>
      <c r="U98" s="3"/>
      <c r="X98" s="3"/>
      <c r="AD98" s="2"/>
      <c r="AE98" s="2"/>
      <c r="AF98" s="2"/>
      <c r="AG98" s="3"/>
      <c r="AJ98" s="3"/>
      <c r="AP98" s="2"/>
      <c r="AQ98" s="2"/>
      <c r="AR98" s="2"/>
      <c r="AS98" s="3"/>
      <c r="AV98" s="3"/>
      <c r="BB98" s="2"/>
      <c r="BC98" s="2"/>
      <c r="BD98" s="2"/>
      <c r="BE98" s="3"/>
      <c r="BH98" s="3"/>
    </row>
    <row r="99" spans="6:60" ht="17.25" customHeight="1">
      <c r="F99" s="2"/>
      <c r="G99" s="2"/>
      <c r="H99" s="2"/>
      <c r="I99" s="3"/>
      <c r="L99" s="3"/>
      <c r="R99" s="2"/>
      <c r="S99" s="2"/>
      <c r="T99" s="2"/>
      <c r="U99" s="3"/>
      <c r="X99" s="3"/>
      <c r="AD99" s="2"/>
      <c r="AE99" s="2"/>
      <c r="AF99" s="2"/>
      <c r="AG99" s="3"/>
      <c r="AJ99" s="3"/>
      <c r="AP99" s="2"/>
      <c r="AQ99" s="2"/>
      <c r="AR99" s="2"/>
      <c r="AS99" s="3"/>
      <c r="AV99" s="3"/>
      <c r="BB99" s="2"/>
      <c r="BC99" s="2"/>
      <c r="BD99" s="2"/>
      <c r="BE99" s="3"/>
      <c r="BH99" s="3"/>
    </row>
    <row r="100" spans="6:60" ht="17.25" customHeight="1">
      <c r="F100" s="2"/>
      <c r="G100" s="2"/>
      <c r="H100" s="2"/>
      <c r="I100" s="3"/>
      <c r="L100" s="3"/>
      <c r="R100" s="2"/>
      <c r="S100" s="2"/>
      <c r="T100" s="2"/>
      <c r="U100" s="3"/>
      <c r="X100" s="3"/>
      <c r="AD100" s="2"/>
      <c r="AE100" s="2"/>
      <c r="AF100" s="2"/>
      <c r="AG100" s="3"/>
      <c r="AJ100" s="3"/>
      <c r="AP100" s="2"/>
      <c r="AQ100" s="2"/>
      <c r="AR100" s="2"/>
      <c r="AS100" s="3"/>
      <c r="AV100" s="3"/>
      <c r="BB100" s="2"/>
      <c r="BC100" s="2"/>
      <c r="BD100" s="2"/>
      <c r="BE100" s="3"/>
      <c r="BH100" s="3"/>
    </row>
    <row r="101" spans="6:60" ht="17.25" customHeight="1">
      <c r="F101" s="2"/>
      <c r="G101" s="2"/>
      <c r="H101" s="2"/>
      <c r="I101" s="3"/>
      <c r="L101" s="3"/>
      <c r="R101" s="2"/>
      <c r="S101" s="2"/>
      <c r="T101" s="2"/>
      <c r="U101" s="3"/>
      <c r="X101" s="3"/>
      <c r="AD101" s="2"/>
      <c r="AE101" s="2"/>
      <c r="AF101" s="2"/>
      <c r="AG101" s="3"/>
      <c r="AJ101" s="3"/>
      <c r="AP101" s="2"/>
      <c r="AQ101" s="2"/>
      <c r="AR101" s="2"/>
      <c r="AS101" s="3"/>
      <c r="AV101" s="3"/>
      <c r="BB101" s="2"/>
      <c r="BC101" s="2"/>
      <c r="BD101" s="2"/>
      <c r="BE101" s="3"/>
      <c r="BH101" s="3"/>
    </row>
    <row r="102" spans="6:60" ht="17.25" customHeight="1">
      <c r="F102" s="2"/>
      <c r="G102" s="2"/>
      <c r="H102" s="2"/>
      <c r="I102" s="3"/>
      <c r="L102" s="3"/>
      <c r="R102" s="2"/>
      <c r="S102" s="2"/>
      <c r="T102" s="2"/>
      <c r="U102" s="3"/>
      <c r="X102" s="3"/>
      <c r="AD102" s="2"/>
      <c r="AE102" s="2"/>
      <c r="AF102" s="2"/>
      <c r="AG102" s="3"/>
      <c r="AJ102" s="3"/>
      <c r="AP102" s="2"/>
      <c r="AQ102" s="2"/>
      <c r="AR102" s="2"/>
      <c r="AS102" s="3"/>
      <c r="AV102" s="3"/>
      <c r="BB102" s="2"/>
      <c r="BC102" s="2"/>
      <c r="BD102" s="2"/>
      <c r="BE102" s="3"/>
      <c r="BH102" s="3"/>
    </row>
    <row r="103" spans="6:60" ht="17.25" customHeight="1">
      <c r="F103" s="2"/>
      <c r="G103" s="2"/>
      <c r="H103" s="2"/>
      <c r="I103" s="3"/>
      <c r="L103" s="3"/>
      <c r="R103" s="2"/>
      <c r="S103" s="2"/>
      <c r="T103" s="2"/>
      <c r="U103" s="3"/>
      <c r="X103" s="3"/>
      <c r="AD103" s="2"/>
      <c r="AE103" s="2"/>
      <c r="AF103" s="2"/>
      <c r="AG103" s="3"/>
      <c r="AJ103" s="3"/>
      <c r="AP103" s="2"/>
      <c r="AQ103" s="2"/>
      <c r="AR103" s="2"/>
      <c r="AS103" s="3"/>
      <c r="AV103" s="3"/>
      <c r="BB103" s="2"/>
      <c r="BC103" s="2"/>
      <c r="BD103" s="2"/>
      <c r="BE103" s="3"/>
      <c r="BH103" s="3"/>
    </row>
    <row r="104" spans="6:60" ht="17.25" customHeight="1">
      <c r="F104" s="2"/>
      <c r="G104" s="2"/>
      <c r="H104" s="2"/>
      <c r="I104" s="3"/>
      <c r="L104" s="3"/>
      <c r="R104" s="2"/>
      <c r="S104" s="2"/>
      <c r="T104" s="2"/>
      <c r="U104" s="3"/>
      <c r="X104" s="3"/>
      <c r="AD104" s="2"/>
      <c r="AE104" s="2"/>
      <c r="AF104" s="2"/>
      <c r="AG104" s="3"/>
      <c r="AJ104" s="3"/>
      <c r="AP104" s="2"/>
      <c r="AQ104" s="2"/>
      <c r="AR104" s="2"/>
      <c r="AS104" s="3"/>
      <c r="AV104" s="3"/>
      <c r="BB104" s="2"/>
      <c r="BC104" s="2"/>
      <c r="BD104" s="2"/>
      <c r="BE104" s="3"/>
      <c r="BH104" s="3"/>
    </row>
    <row r="105" spans="6:60" ht="17.25" customHeight="1">
      <c r="F105" s="2"/>
      <c r="G105" s="2"/>
      <c r="H105" s="2"/>
      <c r="I105" s="3"/>
      <c r="L105" s="3"/>
      <c r="R105" s="2"/>
      <c r="S105" s="2"/>
      <c r="T105" s="2"/>
      <c r="U105" s="3"/>
      <c r="X105" s="3"/>
      <c r="AD105" s="2"/>
      <c r="AE105" s="2"/>
      <c r="AF105" s="2"/>
      <c r="AG105" s="3"/>
      <c r="AJ105" s="3"/>
      <c r="AP105" s="2"/>
      <c r="AQ105" s="2"/>
      <c r="AR105" s="2"/>
      <c r="AS105" s="3"/>
      <c r="AV105" s="3"/>
      <c r="BB105" s="2"/>
      <c r="BC105" s="2"/>
      <c r="BD105" s="2"/>
      <c r="BE105" s="3"/>
      <c r="BH105" s="3"/>
    </row>
    <row r="106" spans="6:60" ht="17.25" customHeight="1">
      <c r="F106" s="2"/>
      <c r="G106" s="2"/>
      <c r="H106" s="2"/>
      <c r="I106" s="3"/>
      <c r="L106" s="3"/>
      <c r="R106" s="2"/>
      <c r="S106" s="2"/>
      <c r="T106" s="2"/>
      <c r="U106" s="3"/>
      <c r="X106" s="3"/>
      <c r="AD106" s="2"/>
      <c r="AE106" s="2"/>
      <c r="AF106" s="2"/>
      <c r="AG106" s="3"/>
      <c r="AJ106" s="3"/>
      <c r="AP106" s="2"/>
      <c r="AQ106" s="2"/>
      <c r="AR106" s="2"/>
      <c r="AS106" s="3"/>
      <c r="AV106" s="3"/>
      <c r="BB106" s="2"/>
      <c r="BC106" s="2"/>
      <c r="BD106" s="2"/>
      <c r="BE106" s="3"/>
      <c r="BH106" s="3"/>
    </row>
    <row r="107" spans="6:60" ht="17.25" customHeight="1">
      <c r="F107" s="2"/>
      <c r="G107" s="2"/>
      <c r="H107" s="2"/>
      <c r="I107" s="3"/>
      <c r="L107" s="3"/>
      <c r="R107" s="2"/>
      <c r="S107" s="2"/>
      <c r="T107" s="2"/>
      <c r="U107" s="3"/>
      <c r="X107" s="3"/>
      <c r="AD107" s="2"/>
      <c r="AE107" s="2"/>
      <c r="AF107" s="2"/>
      <c r="AG107" s="3"/>
      <c r="AJ107" s="3"/>
      <c r="AP107" s="2"/>
      <c r="AQ107" s="2"/>
      <c r="AR107" s="2"/>
      <c r="AS107" s="3"/>
      <c r="AV107" s="3"/>
      <c r="BB107" s="2"/>
      <c r="BC107" s="2"/>
      <c r="BD107" s="2"/>
      <c r="BE107" s="3"/>
      <c r="BH107" s="3"/>
    </row>
    <row r="108" spans="6:60" ht="17.25" customHeight="1">
      <c r="F108" s="2"/>
      <c r="G108" s="2"/>
      <c r="H108" s="2"/>
      <c r="I108" s="3"/>
      <c r="L108" s="3"/>
      <c r="R108" s="2"/>
      <c r="S108" s="2"/>
      <c r="T108" s="2"/>
      <c r="U108" s="3"/>
      <c r="X108" s="3"/>
      <c r="AD108" s="2"/>
      <c r="AE108" s="2"/>
      <c r="AF108" s="2"/>
      <c r="AG108" s="3"/>
      <c r="AJ108" s="3"/>
      <c r="AP108" s="2"/>
      <c r="AQ108" s="2"/>
      <c r="AR108" s="2"/>
      <c r="AS108" s="3"/>
      <c r="AV108" s="3"/>
      <c r="BB108" s="2"/>
      <c r="BC108" s="2"/>
      <c r="BD108" s="2"/>
      <c r="BE108" s="3"/>
      <c r="BH108" s="3"/>
    </row>
    <row r="109" spans="6:60" ht="17.25" customHeight="1">
      <c r="F109" s="2"/>
      <c r="G109" s="2"/>
      <c r="H109" s="2"/>
      <c r="I109" s="3"/>
      <c r="L109" s="3"/>
      <c r="R109" s="2"/>
      <c r="S109" s="2"/>
      <c r="T109" s="2"/>
      <c r="U109" s="3"/>
      <c r="X109" s="3"/>
      <c r="AD109" s="2"/>
      <c r="AE109" s="2"/>
      <c r="AF109" s="2"/>
      <c r="AG109" s="3"/>
      <c r="AJ109" s="3"/>
      <c r="AP109" s="2"/>
      <c r="AQ109" s="2"/>
      <c r="AR109" s="2"/>
      <c r="AS109" s="3"/>
      <c r="AV109" s="3"/>
      <c r="BB109" s="2"/>
      <c r="BC109" s="2"/>
      <c r="BD109" s="2"/>
      <c r="BE109" s="3"/>
      <c r="BH109" s="3"/>
    </row>
    <row r="110" spans="6:60" ht="17.25" customHeight="1">
      <c r="F110" s="2"/>
      <c r="G110" s="2"/>
      <c r="H110" s="2"/>
      <c r="I110" s="3"/>
      <c r="L110" s="3"/>
      <c r="R110" s="2"/>
      <c r="S110" s="2"/>
      <c r="T110" s="2"/>
      <c r="U110" s="3"/>
      <c r="X110" s="3"/>
      <c r="AD110" s="2"/>
      <c r="AE110" s="2"/>
      <c r="AF110" s="2"/>
      <c r="AG110" s="3"/>
      <c r="AJ110" s="3"/>
      <c r="AP110" s="2"/>
      <c r="AQ110" s="2"/>
      <c r="AR110" s="2"/>
      <c r="AS110" s="3"/>
      <c r="AV110" s="3"/>
      <c r="BB110" s="2"/>
      <c r="BC110" s="2"/>
      <c r="BD110" s="2"/>
      <c r="BE110" s="3"/>
      <c r="BH110" s="3"/>
    </row>
    <row r="111" spans="6:60" ht="17.25" customHeight="1">
      <c r="F111" s="2"/>
      <c r="G111" s="2"/>
      <c r="H111" s="2"/>
      <c r="I111" s="3"/>
      <c r="L111" s="3"/>
      <c r="R111" s="2"/>
      <c r="S111" s="2"/>
      <c r="T111" s="2"/>
      <c r="U111" s="3"/>
      <c r="X111" s="3"/>
      <c r="AD111" s="2"/>
      <c r="AE111" s="2"/>
      <c r="AF111" s="2"/>
      <c r="AG111" s="3"/>
      <c r="AJ111" s="3"/>
      <c r="AP111" s="2"/>
      <c r="AQ111" s="2"/>
      <c r="AR111" s="2"/>
      <c r="AS111" s="3"/>
      <c r="AV111" s="3"/>
      <c r="BB111" s="2"/>
      <c r="BC111" s="2"/>
      <c r="BD111" s="2"/>
      <c r="BE111" s="3"/>
      <c r="BH111" s="3"/>
    </row>
    <row r="112" spans="6:60" ht="17.25" customHeight="1">
      <c r="F112" s="2"/>
      <c r="G112" s="2"/>
      <c r="H112" s="2"/>
      <c r="I112" s="3"/>
      <c r="L112" s="3"/>
      <c r="R112" s="2"/>
      <c r="S112" s="2"/>
      <c r="T112" s="2"/>
      <c r="U112" s="3"/>
      <c r="X112" s="3"/>
      <c r="AD112" s="2"/>
      <c r="AE112" s="2"/>
      <c r="AF112" s="2"/>
      <c r="AG112" s="3"/>
      <c r="AJ112" s="3"/>
      <c r="AP112" s="2"/>
      <c r="AQ112" s="2"/>
      <c r="AR112" s="2"/>
      <c r="AS112" s="3"/>
      <c r="AV112" s="3"/>
      <c r="BB112" s="2"/>
      <c r="BC112" s="2"/>
      <c r="BD112" s="2"/>
      <c r="BE112" s="3"/>
      <c r="BH112" s="3"/>
    </row>
    <row r="113" spans="6:60" ht="17.25" customHeight="1">
      <c r="F113" s="2"/>
      <c r="G113" s="2"/>
      <c r="H113" s="2"/>
      <c r="I113" s="3"/>
      <c r="L113" s="3"/>
      <c r="R113" s="2"/>
      <c r="S113" s="2"/>
      <c r="T113" s="2"/>
      <c r="U113" s="3"/>
      <c r="X113" s="3"/>
      <c r="AD113" s="2"/>
      <c r="AE113" s="2"/>
      <c r="AF113" s="2"/>
      <c r="AG113" s="3"/>
      <c r="AJ113" s="3"/>
      <c r="AP113" s="2"/>
      <c r="AQ113" s="2"/>
      <c r="AR113" s="2"/>
      <c r="AS113" s="3"/>
      <c r="AV113" s="3"/>
      <c r="BB113" s="2"/>
      <c r="BC113" s="2"/>
      <c r="BD113" s="2"/>
      <c r="BE113" s="3"/>
      <c r="BH113" s="3"/>
    </row>
    <row r="114" spans="6:60" ht="17.25" customHeight="1">
      <c r="F114" s="2"/>
      <c r="G114" s="2"/>
      <c r="H114" s="2"/>
      <c r="I114" s="3"/>
      <c r="L114" s="3"/>
      <c r="R114" s="2"/>
      <c r="S114" s="2"/>
      <c r="T114" s="2"/>
      <c r="U114" s="3"/>
      <c r="X114" s="3"/>
      <c r="AD114" s="2"/>
      <c r="AE114" s="2"/>
      <c r="AF114" s="2"/>
      <c r="AG114" s="3"/>
      <c r="AJ114" s="3"/>
      <c r="AP114" s="2"/>
      <c r="AQ114" s="2"/>
      <c r="AR114" s="2"/>
      <c r="AS114" s="3"/>
      <c r="AV114" s="3"/>
      <c r="BB114" s="2"/>
      <c r="BC114" s="2"/>
      <c r="BD114" s="2"/>
      <c r="BE114" s="3"/>
      <c r="BH114" s="3"/>
    </row>
    <row r="115" spans="6:60" ht="17.25" customHeight="1">
      <c r="F115" s="2"/>
      <c r="G115" s="2"/>
      <c r="H115" s="2"/>
      <c r="I115" s="3"/>
      <c r="L115" s="3"/>
      <c r="R115" s="2"/>
      <c r="S115" s="2"/>
      <c r="T115" s="2"/>
      <c r="U115" s="3"/>
      <c r="X115" s="3"/>
      <c r="AD115" s="2"/>
      <c r="AE115" s="2"/>
      <c r="AF115" s="2"/>
      <c r="AG115" s="3"/>
      <c r="AJ115" s="3"/>
      <c r="AP115" s="2"/>
      <c r="AQ115" s="2"/>
      <c r="AR115" s="2"/>
      <c r="AS115" s="3"/>
      <c r="AV115" s="3"/>
      <c r="BB115" s="2"/>
      <c r="BC115" s="2"/>
      <c r="BD115" s="2"/>
      <c r="BE115" s="3"/>
      <c r="BH115" s="3"/>
    </row>
    <row r="116" spans="6:60" ht="17.25" customHeight="1">
      <c r="F116" s="2"/>
      <c r="G116" s="2"/>
      <c r="H116" s="2"/>
      <c r="I116" s="3"/>
      <c r="L116" s="3"/>
      <c r="R116" s="2"/>
      <c r="S116" s="2"/>
      <c r="T116" s="2"/>
      <c r="U116" s="3"/>
      <c r="X116" s="3"/>
      <c r="AD116" s="2"/>
      <c r="AE116" s="2"/>
      <c r="AF116" s="2"/>
      <c r="AG116" s="3"/>
      <c r="AJ116" s="3"/>
      <c r="AP116" s="2"/>
      <c r="AQ116" s="2"/>
      <c r="AR116" s="2"/>
      <c r="AS116" s="3"/>
      <c r="AV116" s="3"/>
      <c r="BB116" s="2"/>
      <c r="BC116" s="2"/>
      <c r="BD116" s="2"/>
      <c r="BE116" s="3"/>
      <c r="BH116" s="3"/>
    </row>
    <row r="117" spans="6:60" ht="17.25" customHeight="1">
      <c r="F117" s="2"/>
      <c r="G117" s="2"/>
      <c r="H117" s="2"/>
      <c r="I117" s="3"/>
      <c r="L117" s="3"/>
      <c r="R117" s="2"/>
      <c r="S117" s="2"/>
      <c r="T117" s="2"/>
      <c r="U117" s="3"/>
      <c r="X117" s="3"/>
      <c r="AD117" s="2"/>
      <c r="AE117" s="2"/>
      <c r="AF117" s="2"/>
      <c r="AG117" s="3"/>
      <c r="AJ117" s="3"/>
      <c r="AP117" s="2"/>
      <c r="AQ117" s="2"/>
      <c r="AR117" s="2"/>
      <c r="AS117" s="3"/>
      <c r="AV117" s="3"/>
      <c r="BB117" s="2"/>
      <c r="BC117" s="2"/>
      <c r="BD117" s="2"/>
      <c r="BE117" s="3"/>
      <c r="BH117" s="3"/>
    </row>
    <row r="118" spans="6:60" ht="17.25" customHeight="1">
      <c r="F118" s="2"/>
      <c r="G118" s="2"/>
      <c r="H118" s="2"/>
      <c r="I118" s="3"/>
      <c r="L118" s="3"/>
      <c r="R118" s="2"/>
      <c r="S118" s="2"/>
      <c r="T118" s="2"/>
      <c r="U118" s="3"/>
      <c r="X118" s="3"/>
      <c r="AD118" s="2"/>
      <c r="AE118" s="2"/>
      <c r="AF118" s="2"/>
      <c r="AG118" s="3"/>
      <c r="AJ118" s="3"/>
      <c r="AP118" s="2"/>
      <c r="AQ118" s="2"/>
      <c r="AR118" s="2"/>
      <c r="AS118" s="3"/>
      <c r="AV118" s="3"/>
      <c r="BB118" s="2"/>
      <c r="BC118" s="2"/>
      <c r="BD118" s="2"/>
      <c r="BE118" s="3"/>
      <c r="BH118" s="3"/>
    </row>
    <row r="119" spans="6:60" ht="17.25" customHeight="1">
      <c r="F119" s="2"/>
      <c r="G119" s="2"/>
      <c r="H119" s="2"/>
      <c r="I119" s="3"/>
      <c r="L119" s="3"/>
      <c r="R119" s="2"/>
      <c r="S119" s="2"/>
      <c r="T119" s="2"/>
      <c r="U119" s="3"/>
      <c r="X119" s="3"/>
      <c r="AD119" s="2"/>
      <c r="AE119" s="2"/>
      <c r="AF119" s="2"/>
      <c r="AG119" s="3"/>
      <c r="AJ119" s="3"/>
      <c r="AP119" s="2"/>
      <c r="AQ119" s="2"/>
      <c r="AR119" s="2"/>
      <c r="AS119" s="3"/>
      <c r="AV119" s="3"/>
      <c r="BB119" s="2"/>
      <c r="BC119" s="2"/>
      <c r="BD119" s="2"/>
      <c r="BE119" s="3"/>
      <c r="BH119" s="3"/>
    </row>
    <row r="120" spans="6:60" ht="17.25" customHeight="1">
      <c r="F120" s="2"/>
      <c r="G120" s="2"/>
      <c r="H120" s="2"/>
      <c r="I120" s="3"/>
      <c r="L120" s="3"/>
      <c r="R120" s="2"/>
      <c r="S120" s="2"/>
      <c r="T120" s="2"/>
      <c r="U120" s="3"/>
      <c r="X120" s="3"/>
      <c r="AD120" s="2"/>
      <c r="AE120" s="2"/>
      <c r="AF120" s="2"/>
      <c r="AG120" s="3"/>
      <c r="AJ120" s="3"/>
      <c r="AP120" s="2"/>
      <c r="AQ120" s="2"/>
      <c r="AR120" s="2"/>
      <c r="AS120" s="3"/>
      <c r="AV120" s="3"/>
      <c r="BB120" s="2"/>
      <c r="BC120" s="2"/>
      <c r="BD120" s="2"/>
      <c r="BE120" s="3"/>
      <c r="BH120" s="3"/>
    </row>
    <row r="121" spans="6:60" ht="17.25" customHeight="1">
      <c r="F121" s="2"/>
      <c r="G121" s="2"/>
      <c r="H121" s="2"/>
      <c r="I121" s="3"/>
      <c r="L121" s="3"/>
      <c r="R121" s="2"/>
      <c r="S121" s="2"/>
      <c r="T121" s="2"/>
      <c r="U121" s="3"/>
      <c r="X121" s="3"/>
      <c r="AD121" s="2"/>
      <c r="AE121" s="2"/>
      <c r="AF121" s="2"/>
      <c r="AG121" s="3"/>
      <c r="AJ121" s="3"/>
      <c r="AP121" s="2"/>
      <c r="AQ121" s="2"/>
      <c r="AR121" s="2"/>
      <c r="AS121" s="3"/>
      <c r="AV121" s="3"/>
      <c r="BB121" s="2"/>
      <c r="BC121" s="2"/>
      <c r="BD121" s="2"/>
      <c r="BE121" s="3"/>
      <c r="BH121" s="3"/>
    </row>
    <row r="122" spans="6:60" ht="17.25" customHeight="1">
      <c r="F122" s="2"/>
      <c r="G122" s="2"/>
      <c r="H122" s="2"/>
      <c r="I122" s="3"/>
      <c r="L122" s="3"/>
      <c r="R122" s="2"/>
      <c r="S122" s="2"/>
      <c r="T122" s="2"/>
      <c r="U122" s="3"/>
      <c r="X122" s="3"/>
      <c r="AD122" s="2"/>
      <c r="AE122" s="2"/>
      <c r="AF122" s="2"/>
      <c r="AG122" s="3"/>
      <c r="AJ122" s="3"/>
      <c r="AP122" s="2"/>
      <c r="AQ122" s="2"/>
      <c r="AR122" s="2"/>
      <c r="AS122" s="3"/>
      <c r="AV122" s="3"/>
      <c r="BB122" s="2"/>
      <c r="BC122" s="2"/>
      <c r="BD122" s="2"/>
      <c r="BE122" s="3"/>
      <c r="BH122" s="3"/>
    </row>
    <row r="123" spans="6:60" ht="17.25" customHeight="1">
      <c r="F123" s="2"/>
      <c r="G123" s="2"/>
      <c r="H123" s="2"/>
      <c r="I123" s="3"/>
      <c r="L123" s="3"/>
      <c r="R123" s="2"/>
      <c r="S123" s="2"/>
      <c r="T123" s="2"/>
      <c r="U123" s="3"/>
      <c r="X123" s="3"/>
      <c r="AD123" s="2"/>
      <c r="AE123" s="2"/>
      <c r="AF123" s="2"/>
      <c r="AG123" s="3"/>
      <c r="AJ123" s="3"/>
      <c r="AP123" s="2"/>
      <c r="AQ123" s="2"/>
      <c r="AR123" s="2"/>
      <c r="AS123" s="3"/>
      <c r="AV123" s="3"/>
      <c r="BB123" s="2"/>
      <c r="BC123" s="2"/>
      <c r="BD123" s="2"/>
      <c r="BE123" s="3"/>
      <c r="BH123" s="3"/>
    </row>
    <row r="124" spans="6:60" ht="17.25" customHeight="1">
      <c r="F124" s="2"/>
      <c r="G124" s="2"/>
      <c r="H124" s="2"/>
      <c r="I124" s="3"/>
      <c r="L124" s="3"/>
      <c r="R124" s="2"/>
      <c r="S124" s="2"/>
      <c r="T124" s="2"/>
      <c r="U124" s="3"/>
      <c r="X124" s="3"/>
      <c r="AD124" s="2"/>
      <c r="AE124" s="2"/>
      <c r="AF124" s="2"/>
      <c r="AG124" s="3"/>
      <c r="AJ124" s="3"/>
      <c r="AP124" s="2"/>
      <c r="AQ124" s="2"/>
      <c r="AR124" s="2"/>
      <c r="AS124" s="3"/>
      <c r="AV124" s="3"/>
      <c r="BB124" s="2"/>
      <c r="BC124" s="2"/>
      <c r="BD124" s="2"/>
      <c r="BE124" s="3"/>
      <c r="BH124" s="3"/>
    </row>
    <row r="125" spans="6:60" ht="17.25" customHeight="1">
      <c r="F125" s="2"/>
      <c r="G125" s="2"/>
      <c r="H125" s="2"/>
      <c r="I125" s="3"/>
      <c r="L125" s="3"/>
      <c r="R125" s="2"/>
      <c r="S125" s="2"/>
      <c r="T125" s="2"/>
      <c r="U125" s="3"/>
      <c r="X125" s="3"/>
      <c r="AD125" s="2"/>
      <c r="AE125" s="2"/>
      <c r="AF125" s="2"/>
      <c r="AG125" s="3"/>
      <c r="AJ125" s="3"/>
      <c r="AP125" s="2"/>
      <c r="AQ125" s="2"/>
      <c r="AR125" s="2"/>
      <c r="AS125" s="3"/>
      <c r="AV125" s="3"/>
      <c r="BB125" s="2"/>
      <c r="BC125" s="2"/>
      <c r="BD125" s="2"/>
      <c r="BE125" s="3"/>
      <c r="BH125" s="3"/>
    </row>
    <row r="126" spans="6:60" ht="17.25" customHeight="1">
      <c r="F126" s="2"/>
      <c r="G126" s="2"/>
      <c r="H126" s="2"/>
      <c r="I126" s="3"/>
      <c r="L126" s="3"/>
      <c r="R126" s="2"/>
      <c r="S126" s="2"/>
      <c r="T126" s="2"/>
      <c r="U126" s="3"/>
      <c r="X126" s="3"/>
      <c r="AD126" s="2"/>
      <c r="AE126" s="2"/>
      <c r="AF126" s="2"/>
      <c r="AG126" s="3"/>
      <c r="AJ126" s="3"/>
      <c r="AP126" s="2"/>
      <c r="AQ126" s="2"/>
      <c r="AR126" s="2"/>
      <c r="AS126" s="3"/>
      <c r="AV126" s="3"/>
      <c r="BB126" s="2"/>
      <c r="BC126" s="2"/>
      <c r="BD126" s="2"/>
      <c r="BE126" s="3"/>
      <c r="BH126" s="3"/>
    </row>
    <row r="127" spans="6:60" ht="17.25" customHeight="1">
      <c r="F127" s="2"/>
      <c r="G127" s="2"/>
      <c r="H127" s="2"/>
      <c r="I127" s="3"/>
      <c r="L127" s="3"/>
      <c r="R127" s="2"/>
      <c r="S127" s="2"/>
      <c r="T127" s="2"/>
      <c r="U127" s="3"/>
      <c r="X127" s="3"/>
      <c r="AD127" s="2"/>
      <c r="AE127" s="2"/>
      <c r="AF127" s="2"/>
      <c r="AG127" s="3"/>
      <c r="AJ127" s="3"/>
      <c r="AP127" s="2"/>
      <c r="AQ127" s="2"/>
      <c r="AR127" s="2"/>
      <c r="AS127" s="3"/>
      <c r="AV127" s="3"/>
      <c r="BB127" s="2"/>
      <c r="BC127" s="2"/>
      <c r="BD127" s="2"/>
      <c r="BE127" s="3"/>
      <c r="BH127" s="3"/>
    </row>
    <row r="128" spans="6:60" ht="17.25" customHeight="1">
      <c r="F128" s="2"/>
      <c r="G128" s="2"/>
      <c r="H128" s="2"/>
      <c r="I128" s="3"/>
      <c r="L128" s="3"/>
      <c r="R128" s="2"/>
      <c r="S128" s="2"/>
      <c r="T128" s="2"/>
      <c r="U128" s="3"/>
      <c r="X128" s="3"/>
      <c r="AD128" s="2"/>
      <c r="AE128" s="2"/>
      <c r="AF128" s="2"/>
      <c r="AG128" s="3"/>
      <c r="AJ128" s="3"/>
      <c r="AP128" s="2"/>
      <c r="AQ128" s="2"/>
      <c r="AR128" s="2"/>
      <c r="AS128" s="3"/>
      <c r="AV128" s="3"/>
      <c r="BB128" s="2"/>
      <c r="BC128" s="2"/>
      <c r="BD128" s="2"/>
      <c r="BE128" s="3"/>
      <c r="BH128" s="3"/>
    </row>
    <row r="129" spans="6:60" ht="17.25" customHeight="1">
      <c r="F129" s="2"/>
      <c r="G129" s="2"/>
      <c r="H129" s="2"/>
      <c r="I129" s="3"/>
      <c r="L129" s="3"/>
      <c r="R129" s="2"/>
      <c r="S129" s="2"/>
      <c r="T129" s="2"/>
      <c r="U129" s="3"/>
      <c r="X129" s="3"/>
      <c r="AD129" s="2"/>
      <c r="AE129" s="2"/>
      <c r="AF129" s="2"/>
      <c r="AG129" s="3"/>
      <c r="AJ129" s="3"/>
      <c r="AP129" s="2"/>
      <c r="AQ129" s="2"/>
      <c r="AR129" s="2"/>
      <c r="AS129" s="3"/>
      <c r="AV129" s="3"/>
      <c r="BB129" s="2"/>
      <c r="BC129" s="2"/>
      <c r="BD129" s="2"/>
      <c r="BE129" s="3"/>
      <c r="BH129" s="3"/>
    </row>
  </sheetData>
  <sheetProtection selectLockedCells="1"/>
  <pageMargins left="0.7" right="0.7" top="0.78740157499999996" bottom="0.78740157499999996" header="0.3" footer="0.3"/>
  <pageSetup paperSize="9" orientation="portrait" r:id="rId1"/>
  <ignoredErrors>
    <ignoredError sqref="G13" evalError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bogenpreise!$A$2:$A$22</xm:f>
          </x14:formula1>
          <xm:sqref>I14:I63 BE14:BE63 AG14:AG63 AS14:AS63 U14:U63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A48"/>
  <sheetViews>
    <sheetView workbookViewId="0">
      <selection activeCell="B32" sqref="B32"/>
    </sheetView>
  </sheetViews>
  <sheetFormatPr baseColWidth="10" defaultRowHeight="17.25" customHeight="1"/>
  <cols>
    <col min="1" max="1" width="20.5703125" customWidth="1"/>
    <col min="2" max="2" width="14.140625" customWidth="1"/>
    <col min="3" max="4" width="10.85546875" customWidth="1"/>
    <col min="5" max="5" width="11.140625" customWidth="1"/>
    <col min="6" max="6" width="11.140625" hidden="1" customWidth="1"/>
    <col min="7" max="9" width="0" hidden="1" customWidth="1"/>
    <col min="10" max="11" width="11.42578125" hidden="1" customWidth="1"/>
    <col min="12" max="12" width="3.140625" customWidth="1"/>
    <col min="13" max="13" width="20.5703125" customWidth="1"/>
    <col min="14" max="14" width="14.140625" customWidth="1"/>
    <col min="15" max="16" width="10.85546875" customWidth="1"/>
    <col min="17" max="17" width="11.140625" customWidth="1"/>
    <col min="18" max="18" width="11.140625" hidden="1" customWidth="1"/>
    <col min="19" max="21" width="0" hidden="1" customWidth="1"/>
    <col min="22" max="23" width="11.42578125" hidden="1" customWidth="1"/>
    <col min="24" max="24" width="3.140625" customWidth="1"/>
    <col min="25" max="25" width="20.5703125" customWidth="1"/>
    <col min="26" max="26" width="14.140625" customWidth="1"/>
    <col min="27" max="28" width="10.85546875" customWidth="1"/>
    <col min="29" max="29" width="11.140625" customWidth="1"/>
    <col min="30" max="30" width="11.140625" hidden="1" customWidth="1"/>
    <col min="31" max="33" width="0" hidden="1" customWidth="1"/>
    <col min="34" max="35" width="11.42578125" hidden="1" customWidth="1"/>
    <col min="36" max="36" width="3.140625" customWidth="1"/>
    <col min="37" max="37" width="20.5703125" customWidth="1"/>
    <col min="38" max="38" width="14.140625" customWidth="1"/>
    <col min="39" max="40" width="10.85546875" customWidth="1"/>
    <col min="41" max="41" width="11.140625" customWidth="1"/>
    <col min="42" max="42" width="11.140625" hidden="1" customWidth="1"/>
    <col min="43" max="45" width="0" hidden="1" customWidth="1"/>
    <col min="46" max="47" width="11.42578125" hidden="1" customWidth="1"/>
    <col min="48" max="48" width="3.140625" customWidth="1"/>
    <col min="49" max="49" width="20.5703125" customWidth="1"/>
    <col min="50" max="50" width="14.140625" customWidth="1"/>
  </cols>
  <sheetData>
    <row r="1" spans="1:53" ht="17.25" customHeight="1">
      <c r="A1" s="204" t="s">
        <v>189</v>
      </c>
      <c r="M1" s="204" t="s">
        <v>190</v>
      </c>
      <c r="Y1" s="204" t="s">
        <v>189</v>
      </c>
      <c r="AK1" s="204" t="s">
        <v>189</v>
      </c>
      <c r="AW1" s="204" t="s">
        <v>189</v>
      </c>
    </row>
    <row r="3" spans="1:53" ht="17.25" customHeight="1">
      <c r="A3" t="s">
        <v>141</v>
      </c>
      <c r="B3">
        <v>47</v>
      </c>
      <c r="M3" t="s">
        <v>141</v>
      </c>
      <c r="N3">
        <v>47</v>
      </c>
      <c r="Y3" t="s">
        <v>141</v>
      </c>
      <c r="Z3">
        <v>47</v>
      </c>
      <c r="AK3" t="s">
        <v>141</v>
      </c>
      <c r="AL3">
        <v>47</v>
      </c>
      <c r="AW3" t="s">
        <v>141</v>
      </c>
      <c r="AX3">
        <v>47</v>
      </c>
    </row>
    <row r="4" spans="1:53" ht="17.25" customHeight="1">
      <c r="A4" t="s">
        <v>108</v>
      </c>
      <c r="B4" s="158">
        <f>(3600*(B6*B7*B8/1000000))/B3</f>
        <v>16.75531914893617</v>
      </c>
      <c r="M4" t="s">
        <v>108</v>
      </c>
      <c r="N4" s="158">
        <f>(3600*(N6*N7*N8/1000000))/N3</f>
        <v>16.75531914893617</v>
      </c>
      <c r="Y4" t="s">
        <v>108</v>
      </c>
      <c r="Z4" s="158">
        <f>(3600*(Z6*Z7*Z8/1000000))/Z3</f>
        <v>16.75531914893617</v>
      </c>
      <c r="AK4" t="s">
        <v>108</v>
      </c>
      <c r="AL4" s="158">
        <f>(3600*(AL6*AL7*AL8/1000000))/AL3</f>
        <v>16.75531914893617</v>
      </c>
      <c r="AW4" t="s">
        <v>108</v>
      </c>
      <c r="AX4" s="158">
        <f>(3600*(AX6*AX7*AX8/1000000))/AX3</f>
        <v>16.75531914893617</v>
      </c>
    </row>
    <row r="6" spans="1:53" ht="17.25" customHeight="1">
      <c r="A6" s="152" t="s">
        <v>11</v>
      </c>
      <c r="B6" s="59">
        <f>kalkulation!C2</f>
        <v>250</v>
      </c>
      <c r="C6" s="160"/>
      <c r="D6" s="160"/>
      <c r="E6" s="160"/>
      <c r="M6" s="152" t="s">
        <v>11</v>
      </c>
      <c r="N6" s="59">
        <f>kalkulation!O2</f>
        <v>250</v>
      </c>
      <c r="O6" s="160"/>
      <c r="P6" s="160"/>
      <c r="Q6" s="160"/>
      <c r="Y6" s="152" t="s">
        <v>11</v>
      </c>
      <c r="Z6" s="59">
        <f>kalkulation!AA2</f>
        <v>250</v>
      </c>
      <c r="AA6" s="160"/>
      <c r="AB6" s="160"/>
      <c r="AC6" s="160"/>
      <c r="AK6" s="152" t="s">
        <v>11</v>
      </c>
      <c r="AL6" s="59">
        <f>kalkulation!AM2</f>
        <v>250</v>
      </c>
      <c r="AM6" s="160"/>
      <c r="AN6" s="160"/>
      <c r="AO6" s="160"/>
      <c r="AW6" s="152" t="s">
        <v>11</v>
      </c>
      <c r="AX6" s="59">
        <f>kalkulation!AY2</f>
        <v>250</v>
      </c>
      <c r="AY6" s="160"/>
      <c r="AZ6" s="160"/>
      <c r="BA6" s="160"/>
    </row>
    <row r="7" spans="1:53" ht="17.25" customHeight="1">
      <c r="A7" s="152" t="s">
        <v>9</v>
      </c>
      <c r="B7" s="59">
        <f>kalkulation!C3</f>
        <v>175</v>
      </c>
      <c r="C7" s="160"/>
      <c r="D7" s="160"/>
      <c r="E7" s="160"/>
      <c r="M7" s="152" t="s">
        <v>9</v>
      </c>
      <c r="N7" s="59">
        <f>kalkulation!O3</f>
        <v>175</v>
      </c>
      <c r="O7" s="160"/>
      <c r="P7" s="160"/>
      <c r="Q7" s="160"/>
      <c r="Y7" s="152" t="s">
        <v>9</v>
      </c>
      <c r="Z7" s="59">
        <f>kalkulation!AA3</f>
        <v>175</v>
      </c>
      <c r="AA7" s="160"/>
      <c r="AB7" s="160"/>
      <c r="AC7" s="160"/>
      <c r="AK7" s="152" t="s">
        <v>9</v>
      </c>
      <c r="AL7" s="59">
        <f>kalkulation!AM3</f>
        <v>175</v>
      </c>
      <c r="AM7" s="160"/>
      <c r="AN7" s="160"/>
      <c r="AO7" s="160"/>
      <c r="AW7" s="152" t="s">
        <v>9</v>
      </c>
      <c r="AX7" s="59">
        <f>kalkulation!AY3</f>
        <v>175</v>
      </c>
      <c r="AY7" s="160"/>
      <c r="AZ7" s="160"/>
      <c r="BA7" s="160"/>
    </row>
    <row r="8" spans="1:53" ht="17.25" customHeight="1">
      <c r="A8" s="152" t="s">
        <v>112</v>
      </c>
      <c r="B8" s="59">
        <f>kalkulation!C4</f>
        <v>5</v>
      </c>
      <c r="C8" s="160"/>
      <c r="D8" s="160"/>
      <c r="E8" s="160"/>
      <c r="M8" s="152" t="s">
        <v>112</v>
      </c>
      <c r="N8" s="59">
        <f>kalkulation!O4</f>
        <v>5</v>
      </c>
      <c r="O8" s="160"/>
      <c r="P8" s="160"/>
      <c r="Q8" s="160"/>
      <c r="Y8" s="152" t="s">
        <v>112</v>
      </c>
      <c r="Z8" s="59">
        <f>kalkulation!AA4</f>
        <v>5</v>
      </c>
      <c r="AA8" s="160"/>
      <c r="AB8" s="160"/>
      <c r="AC8" s="160"/>
      <c r="AK8" s="152" t="s">
        <v>112</v>
      </c>
      <c r="AL8" s="59">
        <f>kalkulation!AM4</f>
        <v>5</v>
      </c>
      <c r="AM8" s="160"/>
      <c r="AN8" s="160"/>
      <c r="AO8" s="160"/>
      <c r="AW8" s="152" t="s">
        <v>112</v>
      </c>
      <c r="AX8" s="59">
        <f>kalkulation!AY4</f>
        <v>5</v>
      </c>
      <c r="AY8" s="160"/>
      <c r="AZ8" s="160"/>
      <c r="BA8" s="160"/>
    </row>
    <row r="9" spans="1:53" ht="17.25" customHeight="1">
      <c r="A9" s="152" t="s">
        <v>113</v>
      </c>
      <c r="B9" s="59">
        <f>kalkulation!C5</f>
        <v>500</v>
      </c>
      <c r="C9" s="160"/>
      <c r="D9" s="160"/>
      <c r="E9" s="160"/>
      <c r="M9" s="152" t="s">
        <v>113</v>
      </c>
      <c r="N9" s="59">
        <f>kalkulation!O5</f>
        <v>500</v>
      </c>
      <c r="O9" s="160"/>
      <c r="P9" s="160"/>
      <c r="Q9" s="160"/>
      <c r="Y9" s="152" t="s">
        <v>113</v>
      </c>
      <c r="Z9" s="59">
        <f>kalkulation!AA5</f>
        <v>500</v>
      </c>
      <c r="AA9" s="160"/>
      <c r="AB9" s="160"/>
      <c r="AC9" s="160"/>
      <c r="AK9" s="152" t="s">
        <v>113</v>
      </c>
      <c r="AL9" s="59">
        <f>kalkulation!AM5</f>
        <v>500</v>
      </c>
      <c r="AM9" s="160"/>
      <c r="AN9" s="160"/>
      <c r="AO9" s="160"/>
      <c r="AW9" s="152" t="s">
        <v>113</v>
      </c>
      <c r="AX9" s="59">
        <f>kalkulation!AY5</f>
        <v>500</v>
      </c>
      <c r="AY9" s="160"/>
      <c r="AZ9" s="160"/>
      <c r="BA9" s="160"/>
    </row>
    <row r="10" spans="1:53" ht="17.25" customHeight="1">
      <c r="A10" s="152" t="s">
        <v>124</v>
      </c>
      <c r="B10" s="60">
        <f>(B6*B7)/1000000</f>
        <v>4.3749999999999997E-2</v>
      </c>
      <c r="C10" s="160"/>
      <c r="D10" s="160"/>
      <c r="E10" s="160"/>
      <c r="M10" s="152" t="s">
        <v>124</v>
      </c>
      <c r="N10" s="60">
        <f>(N6*N7)/1000000</f>
        <v>4.3749999999999997E-2</v>
      </c>
      <c r="O10" s="160"/>
      <c r="P10" s="160"/>
      <c r="Q10" s="160"/>
      <c r="Y10" s="152" t="s">
        <v>124</v>
      </c>
      <c r="Z10" s="60">
        <f>(Z6*Z7)/1000000</f>
        <v>4.3749999999999997E-2</v>
      </c>
      <c r="AA10" s="160"/>
      <c r="AB10" s="160"/>
      <c r="AC10" s="160"/>
      <c r="AK10" s="152" t="s">
        <v>124</v>
      </c>
      <c r="AL10" s="60">
        <f>(AL6*AL7)/1000000</f>
        <v>4.3749999999999997E-2</v>
      </c>
      <c r="AM10" s="160"/>
      <c r="AN10" s="160"/>
      <c r="AO10" s="160"/>
      <c r="AW10" s="152" t="s">
        <v>124</v>
      </c>
      <c r="AX10" s="60">
        <f>(AX6*AX7)/1000000</f>
        <v>4.3749999999999997E-2</v>
      </c>
      <c r="AY10" s="160"/>
      <c r="AZ10" s="160"/>
      <c r="BA10" s="160"/>
    </row>
    <row r="11" spans="1:53" ht="17.25" customHeight="1">
      <c r="A11" s="152" t="s">
        <v>126</v>
      </c>
      <c r="B11" s="60">
        <f>B10*B8</f>
        <v>0.21875</v>
      </c>
      <c r="C11" s="160"/>
      <c r="D11" s="160"/>
      <c r="E11" s="160"/>
      <c r="M11" s="152" t="s">
        <v>126</v>
      </c>
      <c r="N11" s="60">
        <f>N10*N8</f>
        <v>0.21875</v>
      </c>
      <c r="O11" s="160"/>
      <c r="P11" s="160"/>
      <c r="Q11" s="160"/>
      <c r="Y11" s="152" t="s">
        <v>126</v>
      </c>
      <c r="Z11" s="60">
        <f>Z10*Z8</f>
        <v>0.21875</v>
      </c>
      <c r="AA11" s="160"/>
      <c r="AB11" s="160"/>
      <c r="AC11" s="160"/>
      <c r="AK11" s="152" t="s">
        <v>126</v>
      </c>
      <c r="AL11" s="60">
        <f>AL10*AL8</f>
        <v>0.21875</v>
      </c>
      <c r="AM11" s="160"/>
      <c r="AN11" s="160"/>
      <c r="AO11" s="160"/>
      <c r="AW11" s="152" t="s">
        <v>126</v>
      </c>
      <c r="AX11" s="60">
        <f>AX10*AX8</f>
        <v>0.21875</v>
      </c>
      <c r="AY11" s="160"/>
      <c r="AZ11" s="160"/>
      <c r="BA11" s="160"/>
    </row>
    <row r="12" spans="1:53" ht="17.25" customHeight="1">
      <c r="A12" s="152" t="s">
        <v>127</v>
      </c>
      <c r="B12" s="102" t="str">
        <f>kalkulation!H2</f>
        <v>EB-Welle 4 mm</v>
      </c>
      <c r="C12" s="59" t="str">
        <f>kalkulation!H3</f>
        <v>braun</v>
      </c>
      <c r="D12" s="160"/>
      <c r="E12" s="160"/>
      <c r="M12" s="152" t="s">
        <v>127</v>
      </c>
      <c r="N12" s="102" t="str">
        <f>kalkulation!T2</f>
        <v>EB-Welle 4 mm</v>
      </c>
      <c r="O12" s="59" t="str">
        <f>kalkulation!T3</f>
        <v>braun</v>
      </c>
      <c r="P12" s="160"/>
      <c r="Q12" s="160"/>
      <c r="Y12" s="152" t="s">
        <v>127</v>
      </c>
      <c r="Z12" s="102" t="str">
        <f>kalkulation!AF2</f>
        <v>EB-Welle 4 mm</v>
      </c>
      <c r="AA12" s="59" t="str">
        <f>kalkulation!AF3</f>
        <v>braun</v>
      </c>
      <c r="AB12" s="160"/>
      <c r="AC12" s="160"/>
      <c r="AK12" s="152" t="s">
        <v>127</v>
      </c>
      <c r="AL12" s="102" t="str">
        <f>kalkulation!AR2</f>
        <v>EB-Welle 4 mm</v>
      </c>
      <c r="AM12" s="59" t="str">
        <f>kalkulation!AR3</f>
        <v>braun</v>
      </c>
      <c r="AN12" s="160"/>
      <c r="AO12" s="160"/>
      <c r="AW12" s="152" t="s">
        <v>127</v>
      </c>
      <c r="AX12" s="102" t="str">
        <f>kalkulation!BD2</f>
        <v>EB-Welle 4 mm</v>
      </c>
      <c r="AY12" s="59" t="str">
        <f>kalkulation!BD3</f>
        <v>braun</v>
      </c>
      <c r="AZ12" s="160"/>
      <c r="BA12" s="160"/>
    </row>
    <row r="13" spans="1:53" ht="17.25" customHeight="1">
      <c r="A13" s="152" t="s">
        <v>130</v>
      </c>
      <c r="B13" s="60">
        <v>1.3</v>
      </c>
      <c r="C13" s="169" t="s">
        <v>142</v>
      </c>
      <c r="D13" s="169" t="s">
        <v>143</v>
      </c>
      <c r="E13" s="169" t="s">
        <v>144</v>
      </c>
      <c r="M13" s="152" t="s">
        <v>130</v>
      </c>
      <c r="N13" s="60">
        <v>1.3</v>
      </c>
      <c r="O13" s="169" t="s">
        <v>142</v>
      </c>
      <c r="P13" s="169" t="s">
        <v>143</v>
      </c>
      <c r="Q13" s="169" t="s">
        <v>144</v>
      </c>
      <c r="Y13" s="152" t="s">
        <v>130</v>
      </c>
      <c r="Z13" s="60">
        <v>1.3</v>
      </c>
      <c r="AA13" s="169" t="s">
        <v>142</v>
      </c>
      <c r="AB13" s="169" t="s">
        <v>143</v>
      </c>
      <c r="AC13" s="169" t="s">
        <v>144</v>
      </c>
      <c r="AK13" s="152" t="s">
        <v>130</v>
      </c>
      <c r="AL13" s="60">
        <v>1.3</v>
      </c>
      <c r="AM13" s="169" t="s">
        <v>142</v>
      </c>
      <c r="AN13" s="169" t="s">
        <v>143</v>
      </c>
      <c r="AO13" s="169" t="s">
        <v>144</v>
      </c>
      <c r="AW13" s="152" t="s">
        <v>130</v>
      </c>
      <c r="AX13" s="60">
        <v>1.3</v>
      </c>
      <c r="AY13" s="169" t="s">
        <v>142</v>
      </c>
      <c r="AZ13" s="169" t="s">
        <v>143</v>
      </c>
      <c r="BA13" s="169" t="s">
        <v>144</v>
      </c>
    </row>
    <row r="14" spans="1:53" ht="17.25" customHeight="1">
      <c r="A14" s="152" t="s">
        <v>139</v>
      </c>
      <c r="B14" s="164"/>
      <c r="C14" s="161">
        <f>SUM(C21:C24)</f>
        <v>0.56874999999999998</v>
      </c>
      <c r="D14" s="161">
        <f>SUM(D21:D24)</f>
        <v>0.85312499999999991</v>
      </c>
      <c r="E14" s="161">
        <f>SUM(E21:E24)</f>
        <v>1.1375</v>
      </c>
      <c r="M14" s="152" t="s">
        <v>139</v>
      </c>
      <c r="N14" s="164"/>
      <c r="O14" s="161">
        <f>SUM(O21:O24)</f>
        <v>0.56874999999999998</v>
      </c>
      <c r="P14" s="161">
        <f>SUM(P21:P24)</f>
        <v>0.85312499999999991</v>
      </c>
      <c r="Q14" s="161">
        <f>SUM(Q21:Q24)</f>
        <v>1.1375</v>
      </c>
      <c r="Y14" s="152" t="s">
        <v>139</v>
      </c>
      <c r="Z14" s="164"/>
      <c r="AA14" s="161">
        <f>SUM(AA21:AA24)</f>
        <v>0.56874999999999998</v>
      </c>
      <c r="AB14" s="161">
        <f>SUM(AB21:AB24)</f>
        <v>0.85312499999999991</v>
      </c>
      <c r="AC14" s="161">
        <f>SUM(AC21:AC24)</f>
        <v>1.1375</v>
      </c>
      <c r="AK14" s="152" t="s">
        <v>139</v>
      </c>
      <c r="AL14" s="164"/>
      <c r="AM14" s="161">
        <f>SUM(AM21:AM24)</f>
        <v>0.56874999999999998</v>
      </c>
      <c r="AN14" s="161">
        <f>SUM(AN21:AN24)</f>
        <v>0.85312499999999991</v>
      </c>
      <c r="AO14" s="161">
        <f>SUM(AO21:AO24)</f>
        <v>1.1375</v>
      </c>
      <c r="AW14" s="152" t="s">
        <v>139</v>
      </c>
      <c r="AX14" s="164"/>
      <c r="AY14" s="161">
        <f>SUM(AY21:AY24)</f>
        <v>0.56874999999999998</v>
      </c>
      <c r="AZ14" s="161">
        <f>SUM(AZ21:AZ24)</f>
        <v>0.85312499999999991</v>
      </c>
      <c r="BA14" s="161">
        <f>SUM(BA21:BA24)</f>
        <v>1.1375</v>
      </c>
    </row>
    <row r="15" spans="1:53" ht="17.25" customHeight="1">
      <c r="A15" s="152" t="s">
        <v>140</v>
      </c>
      <c r="B15" s="160"/>
      <c r="C15" s="165">
        <f>C14*$B9</f>
        <v>284.375</v>
      </c>
      <c r="D15" s="165">
        <f t="shared" ref="D15:E15" si="0">D14*$B9</f>
        <v>426.56249999999994</v>
      </c>
      <c r="E15" s="165">
        <f t="shared" si="0"/>
        <v>568.75</v>
      </c>
      <c r="M15" s="152" t="s">
        <v>140</v>
      </c>
      <c r="N15" s="160"/>
      <c r="O15" s="165">
        <f>O14*$B9</f>
        <v>284.375</v>
      </c>
      <c r="P15" s="165">
        <f t="shared" ref="P15:Q15" si="1">P14*$B9</f>
        <v>426.56249999999994</v>
      </c>
      <c r="Q15" s="165">
        <f t="shared" si="1"/>
        <v>568.75</v>
      </c>
      <c r="Y15" s="152" t="s">
        <v>140</v>
      </c>
      <c r="Z15" s="160"/>
      <c r="AA15" s="165">
        <f>AA14*$B9</f>
        <v>284.375</v>
      </c>
      <c r="AB15" s="165">
        <f t="shared" ref="AB15:AC15" si="2">AB14*$B9</f>
        <v>426.56249999999994</v>
      </c>
      <c r="AC15" s="165">
        <f t="shared" si="2"/>
        <v>568.75</v>
      </c>
      <c r="AK15" s="152" t="s">
        <v>140</v>
      </c>
      <c r="AL15" s="160"/>
      <c r="AM15" s="165">
        <f>AM14*$B9</f>
        <v>284.375</v>
      </c>
      <c r="AN15" s="165">
        <f t="shared" ref="AN15:AO15" si="3">AN14*$B9</f>
        <v>426.56249999999994</v>
      </c>
      <c r="AO15" s="165">
        <f t="shared" si="3"/>
        <v>568.75</v>
      </c>
      <c r="AW15" s="152" t="s">
        <v>140</v>
      </c>
      <c r="AX15" s="160"/>
      <c r="AY15" s="165">
        <f>AY14*$B9</f>
        <v>284.375</v>
      </c>
      <c r="AZ15" s="165">
        <f t="shared" ref="AZ15:BA15" si="4">AZ14*$B9</f>
        <v>426.56249999999994</v>
      </c>
      <c r="BA15" s="165">
        <f t="shared" si="4"/>
        <v>568.75</v>
      </c>
    </row>
    <row r="21" spans="1:53" ht="17.25" customHeight="1">
      <c r="A21" s="156" t="s">
        <v>0</v>
      </c>
      <c r="B21" s="167">
        <v>0</v>
      </c>
      <c r="C21" s="166">
        <f>B21/B9</f>
        <v>0</v>
      </c>
      <c r="D21" s="166">
        <f>B21/B9</f>
        <v>0</v>
      </c>
      <c r="E21" s="166">
        <f>B21/B9</f>
        <v>0</v>
      </c>
      <c r="M21" s="156" t="s">
        <v>0</v>
      </c>
      <c r="N21" s="167">
        <f>$B21</f>
        <v>0</v>
      </c>
      <c r="O21" s="166">
        <f>N21/N9</f>
        <v>0</v>
      </c>
      <c r="P21" s="166">
        <f>N21/N9</f>
        <v>0</v>
      </c>
      <c r="Q21" s="166">
        <f>N21/N9</f>
        <v>0</v>
      </c>
      <c r="Y21" s="156" t="s">
        <v>0</v>
      </c>
      <c r="Z21" s="167">
        <f>$B21</f>
        <v>0</v>
      </c>
      <c r="AA21" s="166">
        <f>Z21/Z9</f>
        <v>0</v>
      </c>
      <c r="AB21" s="166">
        <f>Z21/Z9</f>
        <v>0</v>
      </c>
      <c r="AC21" s="166">
        <f>Z21/Z9</f>
        <v>0</v>
      </c>
      <c r="AK21" s="156" t="s">
        <v>0</v>
      </c>
      <c r="AL21" s="167">
        <f>$B21</f>
        <v>0</v>
      </c>
      <c r="AM21" s="166">
        <f>AL21/AL9</f>
        <v>0</v>
      </c>
      <c r="AN21" s="166">
        <f>AL21/AL9</f>
        <v>0</v>
      </c>
      <c r="AO21" s="166">
        <f>AL21/AL9</f>
        <v>0</v>
      </c>
      <c r="AW21" s="156" t="s">
        <v>0</v>
      </c>
      <c r="AX21" s="167">
        <f>$B21</f>
        <v>0</v>
      </c>
      <c r="AY21" s="166">
        <f>AX21/AX9</f>
        <v>0</v>
      </c>
      <c r="AZ21" s="166">
        <f>AX21/AX9</f>
        <v>0</v>
      </c>
      <c r="BA21" s="166">
        <f>AX21/AX9</f>
        <v>0</v>
      </c>
    </row>
    <row r="22" spans="1:53" ht="17.25" customHeight="1">
      <c r="A22" s="156" t="s">
        <v>136</v>
      </c>
      <c r="B22" s="168">
        <v>2</v>
      </c>
      <c r="C22" s="167">
        <f>B11*B13*B22</f>
        <v>0.56874999999999998</v>
      </c>
      <c r="D22" s="167"/>
      <c r="E22" s="167"/>
      <c r="M22" s="156" t="s">
        <v>136</v>
      </c>
      <c r="N22" s="168">
        <v>2</v>
      </c>
      <c r="O22" s="167">
        <f>N11*N13*N22</f>
        <v>0.56874999999999998</v>
      </c>
      <c r="P22" s="167"/>
      <c r="Q22" s="167"/>
      <c r="Y22" s="156" t="s">
        <v>136</v>
      </c>
      <c r="Z22" s="168">
        <v>2</v>
      </c>
      <c r="AA22" s="167">
        <f>Z11*Z13*Z22</f>
        <v>0.56874999999999998</v>
      </c>
      <c r="AB22" s="167"/>
      <c r="AC22" s="167"/>
      <c r="AK22" s="156" t="s">
        <v>136</v>
      </c>
      <c r="AL22" s="168">
        <v>2</v>
      </c>
      <c r="AM22" s="167">
        <f>AL11*AL13*AL22</f>
        <v>0.56874999999999998</v>
      </c>
      <c r="AN22" s="167"/>
      <c r="AO22" s="167"/>
      <c r="AW22" s="156" t="s">
        <v>136</v>
      </c>
      <c r="AX22" s="168">
        <v>2</v>
      </c>
      <c r="AY22" s="167">
        <f>AX11*AX13*AX22</f>
        <v>0.56874999999999998</v>
      </c>
      <c r="AZ22" s="167"/>
      <c r="BA22" s="167"/>
    </row>
    <row r="23" spans="1:53" ht="17.25" customHeight="1">
      <c r="A23" s="156" t="s">
        <v>137</v>
      </c>
      <c r="B23" s="168">
        <v>3</v>
      </c>
      <c r="C23" s="167"/>
      <c r="D23" s="167">
        <f>B11*B13*B23</f>
        <v>0.85312499999999991</v>
      </c>
      <c r="E23" s="167"/>
      <c r="M23" s="156" t="s">
        <v>137</v>
      </c>
      <c r="N23" s="168">
        <v>3</v>
      </c>
      <c r="O23" s="167"/>
      <c r="P23" s="167">
        <f>N11*N13*N23</f>
        <v>0.85312499999999991</v>
      </c>
      <c r="Q23" s="167"/>
      <c r="Y23" s="156" t="s">
        <v>137</v>
      </c>
      <c r="Z23" s="168">
        <v>3</v>
      </c>
      <c r="AA23" s="167"/>
      <c r="AB23" s="167">
        <f>Z11*Z13*Z23</f>
        <v>0.85312499999999991</v>
      </c>
      <c r="AC23" s="167"/>
      <c r="AK23" s="156" t="s">
        <v>137</v>
      </c>
      <c r="AL23" s="168">
        <v>3</v>
      </c>
      <c r="AM23" s="167"/>
      <c r="AN23" s="167">
        <f>AL11*AL13*AL23</f>
        <v>0.85312499999999991</v>
      </c>
      <c r="AO23" s="167"/>
      <c r="AW23" s="156" t="s">
        <v>137</v>
      </c>
      <c r="AX23" s="168">
        <v>3</v>
      </c>
      <c r="AY23" s="167"/>
      <c r="AZ23" s="167">
        <f>AX11*AX13*AX23</f>
        <v>0.85312499999999991</v>
      </c>
      <c r="BA23" s="167"/>
    </row>
    <row r="24" spans="1:53" ht="17.25" customHeight="1">
      <c r="A24" s="156" t="s">
        <v>138</v>
      </c>
      <c r="B24" s="168">
        <v>4</v>
      </c>
      <c r="C24" s="167"/>
      <c r="D24" s="167"/>
      <c r="E24" s="167">
        <f>B11*B13*B24</f>
        <v>1.1375</v>
      </c>
      <c r="M24" s="156" t="s">
        <v>138</v>
      </c>
      <c r="N24" s="168">
        <v>4</v>
      </c>
      <c r="O24" s="167"/>
      <c r="P24" s="167"/>
      <c r="Q24" s="167">
        <f>N11*N13*N24</f>
        <v>1.1375</v>
      </c>
      <c r="Y24" s="156" t="s">
        <v>138</v>
      </c>
      <c r="Z24" s="168">
        <v>4</v>
      </c>
      <c r="AA24" s="167"/>
      <c r="AB24" s="167"/>
      <c r="AC24" s="167">
        <f>Z11*Z13*Z24</f>
        <v>1.1375</v>
      </c>
      <c r="AK24" s="156" t="s">
        <v>138</v>
      </c>
      <c r="AL24" s="168">
        <v>4</v>
      </c>
      <c r="AM24" s="167"/>
      <c r="AN24" s="167"/>
      <c r="AO24" s="167">
        <f>AL11*AL13*AL24</f>
        <v>1.1375</v>
      </c>
      <c r="AW24" s="156" t="s">
        <v>138</v>
      </c>
      <c r="AX24" s="168">
        <v>4</v>
      </c>
      <c r="AY24" s="167"/>
      <c r="AZ24" s="167"/>
      <c r="BA24" s="167">
        <f>AX11*AX13*AX24</f>
        <v>1.1375</v>
      </c>
    </row>
    <row r="25" spans="1:53" ht="17.25" customHeight="1">
      <c r="A25" s="156" t="s">
        <v>160</v>
      </c>
      <c r="B25" s="205">
        <v>5.0000000000000001E-3</v>
      </c>
      <c r="C25" s="244">
        <f>B25*B6</f>
        <v>1.25</v>
      </c>
      <c r="D25" s="244">
        <f>B25*B6</f>
        <v>1.25</v>
      </c>
      <c r="E25" s="244">
        <f>B25*B6</f>
        <v>1.25</v>
      </c>
      <c r="M25" s="156" t="s">
        <v>160</v>
      </c>
      <c r="N25" s="205">
        <f>$B25</f>
        <v>5.0000000000000001E-3</v>
      </c>
      <c r="O25" s="244">
        <f>N25*N6</f>
        <v>1.25</v>
      </c>
      <c r="P25" s="244">
        <f>N25*N6</f>
        <v>1.25</v>
      </c>
      <c r="Q25" s="244">
        <f>N25*N6</f>
        <v>1.25</v>
      </c>
      <c r="Y25" s="156" t="s">
        <v>160</v>
      </c>
      <c r="Z25" s="205">
        <f>$B25</f>
        <v>5.0000000000000001E-3</v>
      </c>
      <c r="AA25" s="244">
        <f>Z25*Z6</f>
        <v>1.25</v>
      </c>
      <c r="AB25" s="244">
        <f>Z25*Z6</f>
        <v>1.25</v>
      </c>
      <c r="AC25" s="244">
        <f>Z25*Z6</f>
        <v>1.25</v>
      </c>
      <c r="AK25" s="156" t="s">
        <v>160</v>
      </c>
      <c r="AL25" s="205">
        <f>$B25</f>
        <v>5.0000000000000001E-3</v>
      </c>
      <c r="AM25" s="244">
        <f>AL25*AL6</f>
        <v>1.25</v>
      </c>
      <c r="AN25" s="244">
        <f>AL25*AL6</f>
        <v>1.25</v>
      </c>
      <c r="AO25" s="244">
        <f>AL25*AL6</f>
        <v>1.25</v>
      </c>
      <c r="AW25" s="156" t="s">
        <v>160</v>
      </c>
      <c r="AX25" s="205">
        <f>$B25</f>
        <v>5.0000000000000001E-3</v>
      </c>
      <c r="AY25" s="244">
        <f>AX25*AX6</f>
        <v>1.25</v>
      </c>
      <c r="AZ25" s="244">
        <f>AX25*AX6</f>
        <v>1.25</v>
      </c>
      <c r="BA25" s="244">
        <f>AX25*AX6</f>
        <v>1.25</v>
      </c>
    </row>
    <row r="46" spans="1:1" ht="17.25" customHeight="1">
      <c r="A46" t="s">
        <v>143</v>
      </c>
    </row>
    <row r="47" spans="1:1" ht="17.25" customHeight="1">
      <c r="A47" t="s">
        <v>142</v>
      </c>
    </row>
    <row r="48" spans="1:1" ht="17.25" customHeight="1">
      <c r="A48" t="s">
        <v>144</v>
      </c>
    </row>
  </sheetData>
  <sheetProtection sheet="1" objects="1" scenarios="1" selectLockedCells="1"/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F42"/>
  <sheetViews>
    <sheetView topLeftCell="AA1" workbookViewId="0">
      <selection activeCell="AY14" sqref="AY14"/>
    </sheetView>
  </sheetViews>
  <sheetFormatPr baseColWidth="10" defaultRowHeight="17.25" customHeight="1"/>
  <cols>
    <col min="1" max="1" width="27.140625" customWidth="1"/>
    <col min="2" max="2" width="12.85546875" customWidth="1"/>
    <col min="6" max="6" width="10.5703125" customWidth="1"/>
    <col min="7" max="10" width="7.42578125" customWidth="1"/>
    <col min="11" max="12" width="2.42578125" customWidth="1"/>
    <col min="13" max="13" width="27.140625" customWidth="1"/>
    <col min="14" max="14" width="12.85546875" customWidth="1"/>
    <col min="18" max="18" width="10.5703125" customWidth="1"/>
    <col min="19" max="22" width="7.42578125" customWidth="1"/>
    <col min="23" max="24" width="2.42578125" customWidth="1"/>
    <col min="25" max="25" width="27.140625" customWidth="1"/>
    <col min="26" max="26" width="12.85546875" customWidth="1"/>
    <col min="30" max="30" width="10.5703125" customWidth="1"/>
    <col min="31" max="34" width="7.42578125" customWidth="1"/>
    <col min="35" max="36" width="2.42578125" customWidth="1"/>
    <col min="37" max="37" width="27.140625" customWidth="1"/>
    <col min="38" max="38" width="12.85546875" customWidth="1"/>
    <col min="42" max="42" width="10.5703125" customWidth="1"/>
    <col min="43" max="46" width="7.42578125" customWidth="1"/>
    <col min="47" max="48" width="2.42578125" customWidth="1"/>
    <col min="49" max="49" width="27.140625" customWidth="1"/>
    <col min="50" max="50" width="12.85546875" customWidth="1"/>
    <col min="54" max="54" width="10.5703125" customWidth="1"/>
    <col min="55" max="58" width="7.42578125" customWidth="1"/>
    <col min="59" max="60" width="2.42578125" customWidth="1"/>
  </cols>
  <sheetData>
    <row r="1" spans="1:55" ht="17.25" customHeight="1">
      <c r="A1" s="204" t="s">
        <v>194</v>
      </c>
      <c r="M1" s="204" t="s">
        <v>193</v>
      </c>
      <c r="Y1" s="204" t="s">
        <v>296</v>
      </c>
      <c r="AK1" s="204" t="s">
        <v>192</v>
      </c>
      <c r="AW1" s="204" t="s">
        <v>191</v>
      </c>
    </row>
    <row r="3" spans="1:55" ht="17.25" customHeight="1">
      <c r="A3" s="152" t="s">
        <v>11</v>
      </c>
      <c r="B3" s="59">
        <f>kalkulation!C2</f>
        <v>250</v>
      </c>
      <c r="C3" s="59"/>
      <c r="D3" s="60"/>
      <c r="E3" s="58" t="s">
        <v>307</v>
      </c>
      <c r="F3" s="153">
        <f>kalkulation!H4</f>
        <v>0</v>
      </c>
      <c r="G3" s="160"/>
      <c r="M3" s="152" t="s">
        <v>11</v>
      </c>
      <c r="N3" s="59">
        <f>kalkulation!O2</f>
        <v>250</v>
      </c>
      <c r="O3" s="59"/>
      <c r="P3" s="60"/>
      <c r="Q3" s="58" t="s">
        <v>307</v>
      </c>
      <c r="R3" s="153">
        <f>kalkulation!T4</f>
        <v>0</v>
      </c>
      <c r="S3" s="160"/>
      <c r="Y3" s="152" t="s">
        <v>11</v>
      </c>
      <c r="Z3" s="59">
        <f>kalkulation!AA2</f>
        <v>250</v>
      </c>
      <c r="AA3" s="59"/>
      <c r="AB3" s="60"/>
      <c r="AC3" s="58" t="s">
        <v>307</v>
      </c>
      <c r="AD3" s="153">
        <f>kalkulation!AF4</f>
        <v>0</v>
      </c>
      <c r="AE3" s="160"/>
      <c r="AK3" s="152" t="s">
        <v>11</v>
      </c>
      <c r="AL3" s="59">
        <f>kalkulation!AM2</f>
        <v>250</v>
      </c>
      <c r="AM3" s="59"/>
      <c r="AN3" s="60"/>
      <c r="AO3" s="58" t="s">
        <v>307</v>
      </c>
      <c r="AP3" s="153">
        <f>kalkulation!AR4</f>
        <v>0</v>
      </c>
      <c r="AQ3" s="160"/>
      <c r="AW3" s="152" t="s">
        <v>11</v>
      </c>
      <c r="AX3" s="59">
        <f>kalkulation!AY2</f>
        <v>250</v>
      </c>
      <c r="AY3" s="59"/>
      <c r="AZ3" s="60"/>
      <c r="BA3" s="58" t="s">
        <v>307</v>
      </c>
      <c r="BB3" s="153">
        <f>kalkulation!BD4</f>
        <v>0</v>
      </c>
      <c r="BC3" s="160"/>
    </row>
    <row r="4" spans="1:55" ht="17.25" customHeight="1">
      <c r="A4" s="152" t="s">
        <v>9</v>
      </c>
      <c r="B4" s="59">
        <f>kalkulation!C3</f>
        <v>175</v>
      </c>
      <c r="C4" s="59"/>
      <c r="D4" s="60"/>
      <c r="E4" s="58" t="s">
        <v>308</v>
      </c>
      <c r="F4" s="153">
        <f>kalkulation!H5</f>
        <v>0</v>
      </c>
      <c r="G4" s="160"/>
      <c r="M4" s="152" t="s">
        <v>9</v>
      </c>
      <c r="N4" s="59">
        <f>kalkulation!O3</f>
        <v>175</v>
      </c>
      <c r="O4" s="59"/>
      <c r="P4" s="60"/>
      <c r="Q4" s="58" t="s">
        <v>308</v>
      </c>
      <c r="R4" s="153">
        <f>kalkulation!T5</f>
        <v>0</v>
      </c>
      <c r="S4" s="160"/>
      <c r="Y4" s="152" t="s">
        <v>9</v>
      </c>
      <c r="Z4" s="59">
        <f>kalkulation!AA3</f>
        <v>175</v>
      </c>
      <c r="AA4" s="59"/>
      <c r="AB4" s="60"/>
      <c r="AC4" s="58" t="s">
        <v>308</v>
      </c>
      <c r="AD4" s="153">
        <f>kalkulation!AF5</f>
        <v>0</v>
      </c>
      <c r="AE4" s="160"/>
      <c r="AK4" s="152" t="s">
        <v>9</v>
      </c>
      <c r="AL4" s="59">
        <f>kalkulation!AM3</f>
        <v>175</v>
      </c>
      <c r="AM4" s="59"/>
      <c r="AN4" s="60"/>
      <c r="AO4" s="58" t="s">
        <v>308</v>
      </c>
      <c r="AP4" s="153">
        <f>kalkulation!AR5</f>
        <v>0</v>
      </c>
      <c r="AQ4" s="160"/>
      <c r="AW4" s="152" t="s">
        <v>9</v>
      </c>
      <c r="AX4" s="59">
        <f>kalkulation!AY3</f>
        <v>175</v>
      </c>
      <c r="AY4" s="59"/>
      <c r="AZ4" s="60"/>
      <c r="BA4" s="58" t="s">
        <v>308</v>
      </c>
      <c r="BB4" s="153">
        <f>kalkulation!BD5</f>
        <v>0</v>
      </c>
      <c r="BC4" s="160"/>
    </row>
    <row r="5" spans="1:55" ht="17.25" customHeight="1">
      <c r="A5" s="152" t="s">
        <v>112</v>
      </c>
      <c r="B5" s="59">
        <f>kalkulation!C4</f>
        <v>5</v>
      </c>
      <c r="C5" s="59"/>
      <c r="D5" s="60"/>
      <c r="E5" s="58" t="s">
        <v>309</v>
      </c>
      <c r="F5" s="153">
        <f>kalkulation!H6</f>
        <v>0</v>
      </c>
      <c r="G5" s="160"/>
      <c r="M5" s="152" t="s">
        <v>112</v>
      </c>
      <c r="N5" s="59">
        <f>kalkulation!O4</f>
        <v>5</v>
      </c>
      <c r="O5" s="59"/>
      <c r="P5" s="60"/>
      <c r="Q5" s="58" t="s">
        <v>309</v>
      </c>
      <c r="R5" s="153">
        <f>kalkulation!T6</f>
        <v>0</v>
      </c>
      <c r="S5" s="160"/>
      <c r="Y5" s="152" t="s">
        <v>112</v>
      </c>
      <c r="Z5" s="59">
        <f>kalkulation!AA4</f>
        <v>5</v>
      </c>
      <c r="AA5" s="59"/>
      <c r="AB5" s="60"/>
      <c r="AC5" s="58" t="s">
        <v>309</v>
      </c>
      <c r="AD5" s="153">
        <f>kalkulation!AF6</f>
        <v>0</v>
      </c>
      <c r="AE5" s="160"/>
      <c r="AK5" s="152" t="s">
        <v>112</v>
      </c>
      <c r="AL5" s="59">
        <f>kalkulation!AM4</f>
        <v>5</v>
      </c>
      <c r="AM5" s="59"/>
      <c r="AN5" s="60"/>
      <c r="AO5" s="58" t="s">
        <v>309</v>
      </c>
      <c r="AP5" s="153">
        <f>kalkulation!AR6</f>
        <v>0</v>
      </c>
      <c r="AQ5" s="160"/>
      <c r="AW5" s="152" t="s">
        <v>112</v>
      </c>
      <c r="AX5" s="59">
        <f>kalkulation!AY4</f>
        <v>5</v>
      </c>
      <c r="AY5" s="59"/>
      <c r="AZ5" s="60"/>
      <c r="BA5" s="58" t="s">
        <v>309</v>
      </c>
      <c r="BB5" s="153">
        <f>kalkulation!BD6</f>
        <v>0</v>
      </c>
      <c r="BC5" s="160"/>
    </row>
    <row r="6" spans="1:55" ht="17.25" customHeight="1">
      <c r="A6" s="152" t="s">
        <v>113</v>
      </c>
      <c r="B6" s="59">
        <f>mycut!D27</f>
        <v>500</v>
      </c>
      <c r="C6" s="59"/>
      <c r="D6" s="60"/>
      <c r="E6" s="58" t="s">
        <v>310</v>
      </c>
      <c r="F6" s="153">
        <f>kalkulation!H7</f>
        <v>0</v>
      </c>
      <c r="G6" s="160"/>
      <c r="M6" s="152" t="s">
        <v>113</v>
      </c>
      <c r="N6" s="59">
        <f>kalkulation!O5</f>
        <v>500</v>
      </c>
      <c r="O6" s="59"/>
      <c r="P6" s="60"/>
      <c r="Q6" s="58" t="s">
        <v>310</v>
      </c>
      <c r="R6" s="153">
        <f>kalkulation!T7</f>
        <v>0</v>
      </c>
      <c r="S6" s="160"/>
      <c r="Y6" s="152" t="s">
        <v>113</v>
      </c>
      <c r="Z6" s="59">
        <f>kalkulation!AA5</f>
        <v>500</v>
      </c>
      <c r="AA6" s="59"/>
      <c r="AB6" s="60"/>
      <c r="AC6" s="58" t="s">
        <v>310</v>
      </c>
      <c r="AD6" s="153">
        <f>kalkulation!AF7</f>
        <v>0</v>
      </c>
      <c r="AE6" s="160"/>
      <c r="AK6" s="152" t="s">
        <v>113</v>
      </c>
      <c r="AL6" s="59">
        <f>kalkulation!AM5</f>
        <v>500</v>
      </c>
      <c r="AM6" s="59"/>
      <c r="AN6" s="60"/>
      <c r="AO6" s="58" t="s">
        <v>310</v>
      </c>
      <c r="AP6" s="153">
        <f>kalkulation!AR7</f>
        <v>0</v>
      </c>
      <c r="AQ6" s="160"/>
      <c r="AW6" s="152" t="s">
        <v>113</v>
      </c>
      <c r="AX6" s="59">
        <f>kalkulation!AY5</f>
        <v>500</v>
      </c>
      <c r="AY6" s="59"/>
      <c r="AZ6" s="60"/>
      <c r="BA6" s="58" t="s">
        <v>310</v>
      </c>
      <c r="BB6" s="153">
        <f>kalkulation!BD7</f>
        <v>0</v>
      </c>
      <c r="BC6" s="160"/>
    </row>
    <row r="7" spans="1:55" ht="17.25" customHeight="1">
      <c r="A7" s="152" t="s">
        <v>124</v>
      </c>
      <c r="B7" s="60">
        <f>(((B3+B4)/2)*(((B3+B4)/1.4)-((B3-B4)/2)+(B3-B4)/2))/1000000</f>
        <v>6.4508928571428578E-2</v>
      </c>
      <c r="C7" s="59"/>
      <c r="D7" s="60"/>
      <c r="E7" s="58" t="s">
        <v>292</v>
      </c>
      <c r="F7" s="153">
        <f>kalkulation!H8</f>
        <v>0</v>
      </c>
      <c r="G7" s="160"/>
      <c r="M7" s="152" t="s">
        <v>124</v>
      </c>
      <c r="N7" s="60">
        <f>(((N3+N4)/2)*(((N3+N4)/1.4)-((N3-N4)/2)+(N3-N4)/2))/1000000</f>
        <v>6.4508928571428578E-2</v>
      </c>
      <c r="O7" s="59"/>
      <c r="P7" s="60"/>
      <c r="Q7" s="58" t="s">
        <v>292</v>
      </c>
      <c r="R7" s="153">
        <f>kalkulation!T8</f>
        <v>0</v>
      </c>
      <c r="S7" s="160"/>
      <c r="Y7" s="152" t="s">
        <v>124</v>
      </c>
      <c r="Z7" s="60">
        <f>(((Z3+Z4)/2)*(((Z3+Z4)/1.4)-((Z3-Z4)/2)+(Z3-Z4)/2))/1000000</f>
        <v>6.4508928571428578E-2</v>
      </c>
      <c r="AA7" s="59"/>
      <c r="AB7" s="60"/>
      <c r="AC7" s="58" t="s">
        <v>292</v>
      </c>
      <c r="AD7" s="153">
        <f>kalkulation!AF8</f>
        <v>0</v>
      </c>
      <c r="AE7" s="160"/>
      <c r="AK7" s="152" t="s">
        <v>124</v>
      </c>
      <c r="AL7" s="60">
        <f>(((AL3+AL4)/2)*(((AL3+AL4)/1.4)-((AL3-AL4)/2)+(AL3-AL4)/2))/1000000</f>
        <v>6.4508928571428578E-2</v>
      </c>
      <c r="AM7" s="59"/>
      <c r="AN7" s="60"/>
      <c r="AO7" s="58" t="s">
        <v>292</v>
      </c>
      <c r="AP7" s="153">
        <f>kalkulation!AR8</f>
        <v>0</v>
      </c>
      <c r="AQ7" s="160"/>
      <c r="AW7" s="152" t="s">
        <v>124</v>
      </c>
      <c r="AX7" s="60">
        <f>(((AX3+AX4)/2)*(((AX3+AX4)/1.4)-((AX3-AX4)/2)+(AX3-AX4)/2))/1000000</f>
        <v>6.4508928571428578E-2</v>
      </c>
      <c r="AY7" s="59"/>
      <c r="AZ7" s="60"/>
      <c r="BA7" s="58" t="s">
        <v>292</v>
      </c>
      <c r="BB7" s="153">
        <f>kalkulation!BD8</f>
        <v>0</v>
      </c>
      <c r="BC7" s="160"/>
    </row>
    <row r="8" spans="1:55" ht="17.25" customHeight="1">
      <c r="A8" s="152" t="s">
        <v>126</v>
      </c>
      <c r="B8" s="60">
        <f>B7*B5</f>
        <v>0.3225446428571429</v>
      </c>
      <c r="C8" s="59"/>
      <c r="D8" s="60"/>
      <c r="E8" s="58"/>
      <c r="F8" s="162"/>
      <c r="G8" s="160"/>
      <c r="M8" s="152" t="s">
        <v>126</v>
      </c>
      <c r="N8" s="60">
        <f>N7*N5</f>
        <v>0.3225446428571429</v>
      </c>
      <c r="O8" s="59"/>
      <c r="P8" s="60"/>
      <c r="Q8" s="58"/>
      <c r="R8" s="162"/>
      <c r="S8" s="160"/>
      <c r="Y8" s="152" t="s">
        <v>126</v>
      </c>
      <c r="Z8" s="60">
        <f>Z7*Z5</f>
        <v>0.3225446428571429</v>
      </c>
      <c r="AA8" s="59"/>
      <c r="AB8" s="60"/>
      <c r="AC8" s="58"/>
      <c r="AD8" s="162"/>
      <c r="AE8" s="160"/>
      <c r="AK8" s="152" t="s">
        <v>126</v>
      </c>
      <c r="AL8" s="60">
        <f>AL7*AL5</f>
        <v>0.3225446428571429</v>
      </c>
      <c r="AM8" s="59"/>
      <c r="AN8" s="60"/>
      <c r="AO8" s="58"/>
      <c r="AP8" s="162"/>
      <c r="AQ8" s="160"/>
      <c r="AW8" s="152" t="s">
        <v>126</v>
      </c>
      <c r="AX8" s="60">
        <f>AX7*AX5</f>
        <v>0.3225446428571429</v>
      </c>
      <c r="AY8" s="59"/>
      <c r="AZ8" s="60"/>
      <c r="BA8" s="58"/>
      <c r="BB8" s="162"/>
      <c r="BC8" s="160"/>
    </row>
    <row r="9" spans="1:55" ht="17.25" customHeight="1">
      <c r="A9" s="152" t="s">
        <v>130</v>
      </c>
      <c r="B9" s="60">
        <v>1</v>
      </c>
      <c r="C9" s="59"/>
      <c r="D9" s="60"/>
      <c r="E9" s="58"/>
      <c r="F9" s="154"/>
      <c r="G9" s="160"/>
      <c r="M9" s="152" t="s">
        <v>130</v>
      </c>
      <c r="N9" s="60">
        <v>1</v>
      </c>
      <c r="O9" s="59"/>
      <c r="P9" s="60"/>
      <c r="Q9" s="58"/>
      <c r="R9" s="154"/>
      <c r="S9" s="160"/>
      <c r="Y9" s="152" t="s">
        <v>130</v>
      </c>
      <c r="Z9" s="60">
        <v>1</v>
      </c>
      <c r="AA9" s="59"/>
      <c r="AB9" s="60"/>
      <c r="AC9" s="58"/>
      <c r="AD9" s="154"/>
      <c r="AE9" s="160"/>
      <c r="AK9" s="152" t="s">
        <v>130</v>
      </c>
      <c r="AL9" s="60">
        <v>1</v>
      </c>
      <c r="AM9" s="59"/>
      <c r="AN9" s="60"/>
      <c r="AO9" s="58"/>
      <c r="AP9" s="154"/>
      <c r="AQ9" s="160"/>
      <c r="AW9" s="152" t="s">
        <v>130</v>
      </c>
      <c r="AX9" s="60">
        <v>1</v>
      </c>
      <c r="AY9" s="59"/>
      <c r="AZ9" s="60"/>
      <c r="BA9" s="58"/>
      <c r="BB9" s="154"/>
      <c r="BC9" s="160"/>
    </row>
    <row r="10" spans="1:55" ht="17.25" customHeight="1">
      <c r="A10" s="152" t="s">
        <v>153</v>
      </c>
      <c r="B10" s="163">
        <f>E14+E21</f>
        <v>0</v>
      </c>
      <c r="C10" s="59"/>
      <c r="D10" s="60"/>
      <c r="E10" s="58"/>
      <c r="F10" s="154"/>
      <c r="G10" s="160"/>
      <c r="M10" s="152" t="s">
        <v>153</v>
      </c>
      <c r="N10" s="163">
        <f>Q14+Q21</f>
        <v>0</v>
      </c>
      <c r="O10" s="59"/>
      <c r="P10" s="60"/>
      <c r="Q10" s="58"/>
      <c r="R10" s="154"/>
      <c r="S10" s="160"/>
      <c r="Y10" s="152" t="s">
        <v>153</v>
      </c>
      <c r="Z10" s="163">
        <f>AC14+AC21</f>
        <v>0</v>
      </c>
      <c r="AA10" s="59"/>
      <c r="AB10" s="60"/>
      <c r="AC10" s="58"/>
      <c r="AD10" s="154"/>
      <c r="AE10" s="160"/>
      <c r="AK10" s="152" t="s">
        <v>153</v>
      </c>
      <c r="AL10" s="163">
        <f>AO14+AO21</f>
        <v>0</v>
      </c>
      <c r="AM10" s="59"/>
      <c r="AN10" s="60"/>
      <c r="AO10" s="58"/>
      <c r="AP10" s="154"/>
      <c r="AQ10" s="160"/>
      <c r="AW10" s="152" t="s">
        <v>153</v>
      </c>
      <c r="AX10" s="163">
        <f>BA14+BA21</f>
        <v>0</v>
      </c>
      <c r="AY10" s="59"/>
      <c r="AZ10" s="60"/>
      <c r="BA10" s="58"/>
      <c r="BB10" s="154"/>
      <c r="BC10" s="160"/>
    </row>
    <row r="11" spans="1:55" ht="17.25" customHeight="1">
      <c r="A11" s="152" t="s">
        <v>129</v>
      </c>
      <c r="B11" s="60">
        <f>B10*B6</f>
        <v>0</v>
      </c>
      <c r="C11" s="59"/>
      <c r="D11" s="60"/>
      <c r="E11" s="58"/>
      <c r="F11" s="154"/>
      <c r="G11" s="160"/>
      <c r="M11" s="152" t="s">
        <v>129</v>
      </c>
      <c r="N11" s="60">
        <f>N10*N6</f>
        <v>0</v>
      </c>
      <c r="O11" s="59"/>
      <c r="P11" s="60"/>
      <c r="Q11" s="58"/>
      <c r="R11" s="154"/>
      <c r="S11" s="160"/>
      <c r="Y11" s="152" t="s">
        <v>129</v>
      </c>
      <c r="Z11" s="60">
        <f>Z10*Z6</f>
        <v>0</v>
      </c>
      <c r="AA11" s="59"/>
      <c r="AB11" s="60"/>
      <c r="AC11" s="58"/>
      <c r="AD11" s="154"/>
      <c r="AE11" s="160"/>
      <c r="AK11" s="152" t="s">
        <v>129</v>
      </c>
      <c r="AL11" s="60">
        <f>AL10*AL6</f>
        <v>0</v>
      </c>
      <c r="AM11" s="59"/>
      <c r="AN11" s="60"/>
      <c r="AO11" s="58"/>
      <c r="AP11" s="154"/>
      <c r="AQ11" s="160"/>
      <c r="AW11" s="152" t="s">
        <v>129</v>
      </c>
      <c r="AX11" s="60">
        <f>AX10*AX6</f>
        <v>0</v>
      </c>
      <c r="AY11" s="59"/>
      <c r="AZ11" s="60"/>
      <c r="BA11" s="58"/>
      <c r="BB11" s="154"/>
      <c r="BC11" s="160"/>
    </row>
    <row r="13" spans="1:55" ht="17.25" customHeight="1">
      <c r="E13" s="159" t="s">
        <v>150</v>
      </c>
      <c r="F13" s="159" t="s">
        <v>151</v>
      </c>
      <c r="Q13" s="159" t="s">
        <v>150</v>
      </c>
      <c r="R13" s="159" t="s">
        <v>151</v>
      </c>
      <c r="AC13" s="159" t="s">
        <v>150</v>
      </c>
      <c r="AD13" s="159" t="s">
        <v>151</v>
      </c>
      <c r="AO13" s="159" t="s">
        <v>150</v>
      </c>
      <c r="AP13" s="159" t="s">
        <v>151</v>
      </c>
      <c r="BA13" s="159" t="s">
        <v>150</v>
      </c>
      <c r="BB13" s="159" t="s">
        <v>151</v>
      </c>
    </row>
    <row r="14" spans="1:55" ht="17.25" customHeight="1">
      <c r="A14" s="157" t="s">
        <v>263</v>
      </c>
      <c r="B14" s="157"/>
      <c r="C14" s="157">
        <f>IF(F3=0,0,C15)</f>
        <v>0</v>
      </c>
      <c r="D14" s="157"/>
      <c r="E14" s="193">
        <f>(SUM(E15,E17,E19))+(C14/500)</f>
        <v>0</v>
      </c>
      <c r="F14" s="155">
        <f>E14*B6</f>
        <v>0</v>
      </c>
      <c r="M14" s="157" t="s">
        <v>263</v>
      </c>
      <c r="N14" s="157"/>
      <c r="O14" s="157">
        <f>IF(R3=0,0,O15)</f>
        <v>0</v>
      </c>
      <c r="P14" s="157"/>
      <c r="Q14" s="193">
        <f>(SUM(Q15,Q17,Q19))+(O14/500)</f>
        <v>0</v>
      </c>
      <c r="R14" s="155">
        <f>Q14*N6</f>
        <v>0</v>
      </c>
      <c r="Y14" s="157" t="s">
        <v>263</v>
      </c>
      <c r="Z14" s="157"/>
      <c r="AA14" s="157">
        <f>IF(AD3=0,0,AA15)</f>
        <v>0</v>
      </c>
      <c r="AB14" s="157"/>
      <c r="AC14" s="193">
        <f>(SUM(AC15,AC17,AC19))+(AA14/500)</f>
        <v>0</v>
      </c>
      <c r="AD14" s="155">
        <f>AC14*Z6</f>
        <v>0</v>
      </c>
      <c r="AK14" s="157" t="s">
        <v>263</v>
      </c>
      <c r="AL14" s="157"/>
      <c r="AM14" s="157">
        <f>IF(AP3=0,0,AM15)</f>
        <v>0</v>
      </c>
      <c r="AN14" s="157"/>
      <c r="AO14" s="193">
        <f>(SUM(AO15,AO17,AO19))+(AM14/500)</f>
        <v>0</v>
      </c>
      <c r="AP14" s="155">
        <f>AO14*AL6</f>
        <v>0</v>
      </c>
      <c r="AW14" s="157" t="s">
        <v>263</v>
      </c>
      <c r="AX14" s="157"/>
      <c r="AY14" s="157">
        <f>IF(BB3=0,0,AY15)</f>
        <v>0</v>
      </c>
      <c r="AZ14" s="157"/>
      <c r="BA14" s="193">
        <f>(SUM(BA15,BA17,BA19))+(AY14/500)</f>
        <v>0</v>
      </c>
      <c r="BB14" s="155">
        <f>BA14*AX6</f>
        <v>0</v>
      </c>
    </row>
    <row r="15" spans="1:55" ht="17.25" customHeight="1">
      <c r="A15" s="170" t="s">
        <v>145</v>
      </c>
      <c r="B15" s="184"/>
      <c r="C15" s="172">
        <v>33</v>
      </c>
      <c r="D15" s="171" t="s">
        <v>149</v>
      </c>
      <c r="E15" s="194">
        <f>SUM(E16:E16)</f>
        <v>0</v>
      </c>
      <c r="M15" s="170" t="s">
        <v>145</v>
      </c>
      <c r="N15" s="184"/>
      <c r="O15" s="172">
        <v>33</v>
      </c>
      <c r="P15" s="171" t="s">
        <v>149</v>
      </c>
      <c r="Q15" s="194">
        <f>SUM(Q16:Q16)</f>
        <v>0</v>
      </c>
      <c r="Y15" s="170" t="s">
        <v>145</v>
      </c>
      <c r="Z15" s="184"/>
      <c r="AA15" s="172">
        <v>33</v>
      </c>
      <c r="AB15" s="171" t="s">
        <v>149</v>
      </c>
      <c r="AC15" s="194">
        <f>SUM(AC16:AC16)</f>
        <v>0</v>
      </c>
      <c r="AK15" s="170" t="s">
        <v>145</v>
      </c>
      <c r="AL15" s="184"/>
      <c r="AM15" s="172">
        <v>33</v>
      </c>
      <c r="AN15" s="171" t="s">
        <v>149</v>
      </c>
      <c r="AO15" s="194">
        <f>SUM(AO16:AO16)</f>
        <v>0</v>
      </c>
      <c r="AW15" s="170" t="s">
        <v>145</v>
      </c>
      <c r="AX15" s="184"/>
      <c r="AY15" s="172">
        <v>33</v>
      </c>
      <c r="AZ15" s="171" t="s">
        <v>149</v>
      </c>
      <c r="BA15" s="194">
        <f>SUM(BA16:BA16)</f>
        <v>0</v>
      </c>
    </row>
    <row r="16" spans="1:55" ht="17.25" customHeight="1">
      <c r="A16" s="173" t="s">
        <v>270</v>
      </c>
      <c r="B16" s="174"/>
      <c r="C16" s="190">
        <v>0</v>
      </c>
      <c r="D16" s="175">
        <f>C16/B6</f>
        <v>0</v>
      </c>
      <c r="E16" s="195">
        <f>IF(F3=A16,D16,0)</f>
        <v>0</v>
      </c>
      <c r="M16" s="173" t="s">
        <v>270</v>
      </c>
      <c r="N16" s="174"/>
      <c r="O16" s="190">
        <v>0</v>
      </c>
      <c r="P16" s="175">
        <f>O16/N6</f>
        <v>0</v>
      </c>
      <c r="Q16" s="195">
        <f>IF(R3=M16,P16,0)</f>
        <v>0</v>
      </c>
      <c r="Y16" s="173" t="s">
        <v>270</v>
      </c>
      <c r="Z16" s="174"/>
      <c r="AA16" s="190">
        <v>0</v>
      </c>
      <c r="AB16" s="175">
        <f>AA16/Z6</f>
        <v>0</v>
      </c>
      <c r="AC16" s="195">
        <f>IF(AD3=Y16,AB16,0)</f>
        <v>0</v>
      </c>
      <c r="AK16" s="173" t="s">
        <v>270</v>
      </c>
      <c r="AL16" s="174"/>
      <c r="AM16" s="190">
        <v>0</v>
      </c>
      <c r="AN16" s="175">
        <f>AM16/AL6</f>
        <v>0</v>
      </c>
      <c r="AO16" s="195">
        <f>IF(AP3=AK16,AN16,0)</f>
        <v>0</v>
      </c>
      <c r="AW16" s="173" t="s">
        <v>270</v>
      </c>
      <c r="AX16" s="174"/>
      <c r="AY16" s="190">
        <v>0</v>
      </c>
      <c r="AZ16" s="175">
        <f>AY16/AX6</f>
        <v>0</v>
      </c>
      <c r="BA16" s="195">
        <f>IF(BB3=AW16,AZ16,0)</f>
        <v>0</v>
      </c>
    </row>
    <row r="17" spans="1:58" ht="17.25" customHeight="1">
      <c r="A17" s="170" t="s">
        <v>294</v>
      </c>
      <c r="B17" s="184"/>
      <c r="C17" s="172" t="s">
        <v>148</v>
      </c>
      <c r="D17" s="182" t="s">
        <v>152</v>
      </c>
      <c r="E17" s="196">
        <f>SUM(E18:E18)</f>
        <v>0</v>
      </c>
      <c r="M17" s="170" t="s">
        <v>294</v>
      </c>
      <c r="N17" s="184"/>
      <c r="O17" s="172" t="s">
        <v>148</v>
      </c>
      <c r="P17" s="182" t="s">
        <v>152</v>
      </c>
      <c r="Q17" s="196">
        <f>SUM(Q18:Q18)</f>
        <v>0</v>
      </c>
      <c r="Y17" s="170" t="s">
        <v>294</v>
      </c>
      <c r="Z17" s="184"/>
      <c r="AA17" s="172" t="s">
        <v>148</v>
      </c>
      <c r="AB17" s="182" t="s">
        <v>152</v>
      </c>
      <c r="AC17" s="196">
        <f>SUM(AC18:AC18)</f>
        <v>0</v>
      </c>
      <c r="AK17" s="170" t="s">
        <v>294</v>
      </c>
      <c r="AL17" s="184"/>
      <c r="AM17" s="172" t="s">
        <v>148</v>
      </c>
      <c r="AN17" s="182" t="s">
        <v>152</v>
      </c>
      <c r="AO17" s="196">
        <f>SUM(AO18:AO18)</f>
        <v>0</v>
      </c>
      <c r="AW17" s="170" t="s">
        <v>294</v>
      </c>
      <c r="AX17" s="184"/>
      <c r="AY17" s="172" t="s">
        <v>148</v>
      </c>
      <c r="AZ17" s="182" t="s">
        <v>152</v>
      </c>
      <c r="BA17" s="196">
        <f>SUM(BA18:BA18)</f>
        <v>0</v>
      </c>
    </row>
    <row r="18" spans="1:58" ht="17.25" customHeight="1">
      <c r="A18" s="173"/>
      <c r="B18" s="174"/>
      <c r="C18" s="190">
        <v>4</v>
      </c>
      <c r="D18" s="175">
        <f>(B7*B9*C18)</f>
        <v>0.25803571428571431</v>
      </c>
      <c r="E18" s="197">
        <f>D18*F3</f>
        <v>0</v>
      </c>
      <c r="M18" s="173"/>
      <c r="N18" s="174"/>
      <c r="O18" s="190">
        <v>4</v>
      </c>
      <c r="P18" s="175">
        <f>(N7*N9*O18)</f>
        <v>0.25803571428571431</v>
      </c>
      <c r="Q18" s="197">
        <f>P18*R3</f>
        <v>0</v>
      </c>
      <c r="Y18" s="173"/>
      <c r="Z18" s="174"/>
      <c r="AA18" s="190">
        <v>4</v>
      </c>
      <c r="AB18" s="175">
        <f>(Z7*Z9*AA18)</f>
        <v>0.25803571428571431</v>
      </c>
      <c r="AC18" s="197">
        <f>AB18*AD3</f>
        <v>0</v>
      </c>
      <c r="AK18" s="173"/>
      <c r="AL18" s="174"/>
      <c r="AM18" s="190">
        <v>4</v>
      </c>
      <c r="AN18" s="175">
        <f>(AL7*AL9*AM18)</f>
        <v>0.25803571428571431</v>
      </c>
      <c r="AO18" s="197">
        <f>AN18*AP3</f>
        <v>0</v>
      </c>
      <c r="AW18" s="173"/>
      <c r="AX18" s="174"/>
      <c r="AY18" s="190">
        <v>4</v>
      </c>
      <c r="AZ18" s="175">
        <f>(AX7*AX9*AY18)</f>
        <v>0.25803571428571431</v>
      </c>
      <c r="BA18" s="197">
        <f>AZ18*BB3</f>
        <v>0</v>
      </c>
    </row>
    <row r="19" spans="1:58" ht="17.25" customHeight="1">
      <c r="A19" s="173" t="s">
        <v>295</v>
      </c>
      <c r="B19" s="174"/>
      <c r="C19" s="190">
        <v>4</v>
      </c>
      <c r="D19" s="175">
        <f>(B7*B9*C19)</f>
        <v>0.25803571428571431</v>
      </c>
      <c r="E19" s="197">
        <f>D19*F4</f>
        <v>0</v>
      </c>
      <c r="M19" s="173" t="s">
        <v>295</v>
      </c>
      <c r="N19" s="174"/>
      <c r="O19" s="190">
        <v>4</v>
      </c>
      <c r="P19" s="175">
        <f>(N7*N9*O19)</f>
        <v>0.25803571428571431</v>
      </c>
      <c r="Q19" s="197">
        <f>P19*R4</f>
        <v>0</v>
      </c>
      <c r="Y19" s="173" t="s">
        <v>295</v>
      </c>
      <c r="Z19" s="174"/>
      <c r="AA19" s="190">
        <v>4</v>
      </c>
      <c r="AB19" s="175">
        <f>(Z7*Z9*AA19)</f>
        <v>0.25803571428571431</v>
      </c>
      <c r="AC19" s="197">
        <f>AB19*AD4</f>
        <v>0</v>
      </c>
      <c r="AK19" s="173" t="s">
        <v>295</v>
      </c>
      <c r="AL19" s="174"/>
      <c r="AM19" s="190">
        <v>4</v>
      </c>
      <c r="AN19" s="175">
        <f>(AL7*AL9*AM19)</f>
        <v>0.25803571428571431</v>
      </c>
      <c r="AO19" s="197">
        <f>AN19*AP4</f>
        <v>0</v>
      </c>
      <c r="AW19" s="173" t="s">
        <v>295</v>
      </c>
      <c r="AX19" s="174"/>
      <c r="AY19" s="190">
        <v>4</v>
      </c>
      <c r="AZ19" s="175">
        <f>(AX7*AX9*AY19)</f>
        <v>0.25803571428571431</v>
      </c>
      <c r="BA19" s="197">
        <f>AZ19*BB4</f>
        <v>0</v>
      </c>
    </row>
    <row r="20" spans="1:58" ht="17.25" customHeight="1">
      <c r="E20" s="198"/>
      <c r="Q20" s="198"/>
      <c r="AC20" s="198"/>
      <c r="AO20" s="198"/>
      <c r="BA20" s="198"/>
    </row>
    <row r="21" spans="1:58" ht="17.25" customHeight="1">
      <c r="A21" s="199" t="s">
        <v>195</v>
      </c>
      <c r="B21" s="176" t="s">
        <v>84</v>
      </c>
      <c r="C21" s="188" t="s">
        <v>102</v>
      </c>
      <c r="D21" s="191" t="s">
        <v>149</v>
      </c>
      <c r="E21" s="203">
        <f>SUM(E22:E23)</f>
        <v>0</v>
      </c>
      <c r="M21" s="199" t="s">
        <v>195</v>
      </c>
      <c r="N21" s="176" t="s">
        <v>84</v>
      </c>
      <c r="O21" s="188" t="s">
        <v>102</v>
      </c>
      <c r="P21" s="191" t="s">
        <v>149</v>
      </c>
      <c r="Q21" s="203">
        <f>SUM(Q22:Q23)</f>
        <v>0</v>
      </c>
      <c r="Y21" s="199" t="s">
        <v>195</v>
      </c>
      <c r="Z21" s="176" t="s">
        <v>84</v>
      </c>
      <c r="AA21" s="188" t="s">
        <v>102</v>
      </c>
      <c r="AB21" s="191" t="s">
        <v>149</v>
      </c>
      <c r="AC21" s="203">
        <f>SUM(AC22:AC23)</f>
        <v>0</v>
      </c>
      <c r="AK21" s="199" t="s">
        <v>195</v>
      </c>
      <c r="AL21" s="176" t="s">
        <v>84</v>
      </c>
      <c r="AM21" s="188" t="s">
        <v>102</v>
      </c>
      <c r="AN21" s="191" t="s">
        <v>149</v>
      </c>
      <c r="AO21" s="203">
        <f>SUM(AO22:AO23)</f>
        <v>0</v>
      </c>
      <c r="AW21" s="199" t="s">
        <v>195</v>
      </c>
      <c r="AX21" s="176" t="s">
        <v>84</v>
      </c>
      <c r="AY21" s="188" t="s">
        <v>102</v>
      </c>
      <c r="AZ21" s="191" t="s">
        <v>149</v>
      </c>
      <c r="BA21" s="203">
        <f>SUM(BA22:BA23)</f>
        <v>0</v>
      </c>
    </row>
    <row r="22" spans="1:58" ht="17.25" customHeight="1">
      <c r="A22" s="178" t="s">
        <v>154</v>
      </c>
      <c r="B22" s="179">
        <f>I24*F5</f>
        <v>0</v>
      </c>
      <c r="C22" s="189">
        <f>F6*J24</f>
        <v>0</v>
      </c>
      <c r="D22" s="192">
        <f>(B22+C22)</f>
        <v>0</v>
      </c>
      <c r="E22" s="200">
        <f>D22</f>
        <v>0</v>
      </c>
      <c r="M22" s="178" t="s">
        <v>154</v>
      </c>
      <c r="N22" s="179">
        <f>U24*R5</f>
        <v>0</v>
      </c>
      <c r="O22" s="189">
        <f>R6*V24</f>
        <v>0</v>
      </c>
      <c r="P22" s="192">
        <f>(N22+O22)</f>
        <v>0</v>
      </c>
      <c r="Q22" s="200">
        <f>P22</f>
        <v>0</v>
      </c>
      <c r="Y22" s="178" t="s">
        <v>154</v>
      </c>
      <c r="Z22" s="179">
        <f>AG24*AD5</f>
        <v>0</v>
      </c>
      <c r="AA22" s="189">
        <f>AD6*AH24</f>
        <v>0</v>
      </c>
      <c r="AB22" s="192">
        <f>(Z22+AA22)</f>
        <v>0</v>
      </c>
      <c r="AC22" s="200">
        <f>AB22</f>
        <v>0</v>
      </c>
      <c r="AK22" s="178" t="s">
        <v>154</v>
      </c>
      <c r="AL22" s="179">
        <f>AS24*AP5</f>
        <v>0</v>
      </c>
      <c r="AM22" s="189">
        <f>AP6*AT24</f>
        <v>0</v>
      </c>
      <c r="AN22" s="192">
        <f>(AL22+AM22)</f>
        <v>0</v>
      </c>
      <c r="AO22" s="200">
        <f>AN22</f>
        <v>0</v>
      </c>
      <c r="AW22" s="178" t="s">
        <v>154</v>
      </c>
      <c r="AX22" s="179">
        <f>BE24*BB5</f>
        <v>0</v>
      </c>
      <c r="AY22" s="189">
        <f>BB6*BF24</f>
        <v>0</v>
      </c>
      <c r="AZ22" s="192">
        <f>(AX22+AY22)</f>
        <v>0</v>
      </c>
      <c r="BA22" s="200">
        <f>AZ22</f>
        <v>0</v>
      </c>
    </row>
    <row r="23" spans="1:58" ht="17.25" customHeight="1">
      <c r="A23" s="183" t="s">
        <v>312</v>
      </c>
      <c r="B23" s="180">
        <v>115</v>
      </c>
      <c r="C23" s="181">
        <f>B23/B6</f>
        <v>0.23</v>
      </c>
      <c r="D23" s="201">
        <f>IF(E22&gt;0,C23,0)</f>
        <v>0</v>
      </c>
      <c r="E23" s="202">
        <f>D23</f>
        <v>0</v>
      </c>
      <c r="M23" s="183" t="s">
        <v>312</v>
      </c>
      <c r="N23" s="180">
        <v>115</v>
      </c>
      <c r="O23" s="181">
        <f>N23/N6</f>
        <v>0.23</v>
      </c>
      <c r="P23" s="201">
        <f>IF(Q22&gt;0,O23,0)</f>
        <v>0</v>
      </c>
      <c r="Q23" s="202">
        <f>P23</f>
        <v>0</v>
      </c>
      <c r="Y23" s="183" t="s">
        <v>312</v>
      </c>
      <c r="Z23" s="180">
        <v>115</v>
      </c>
      <c r="AA23" s="181">
        <f>Z23/Z6</f>
        <v>0.23</v>
      </c>
      <c r="AB23" s="201">
        <f>IF(AC22&gt;0,AA23,0)</f>
        <v>0</v>
      </c>
      <c r="AC23" s="202">
        <f>AB23</f>
        <v>0</v>
      </c>
      <c r="AK23" s="183" t="s">
        <v>312</v>
      </c>
      <c r="AL23" s="180">
        <v>115</v>
      </c>
      <c r="AM23" s="181">
        <f>AL23/AL6</f>
        <v>0.23</v>
      </c>
      <c r="AN23" s="201">
        <f>IF(AO22&gt;0,AM23,0)</f>
        <v>0</v>
      </c>
      <c r="AO23" s="202">
        <f>AN23</f>
        <v>0</v>
      </c>
      <c r="AW23" s="183" t="s">
        <v>312</v>
      </c>
      <c r="AX23" s="180">
        <v>115</v>
      </c>
      <c r="AY23" s="181">
        <f>AX23/AX6</f>
        <v>0.23</v>
      </c>
      <c r="AZ23" s="201">
        <f>IF(BA22&gt;0,AY23,0)</f>
        <v>0</v>
      </c>
      <c r="BA23" s="202">
        <f>AZ23</f>
        <v>0</v>
      </c>
    </row>
    <row r="24" spans="1:58" ht="17.25" customHeight="1">
      <c r="I24" s="206">
        <f>SUM(I26:I42)</f>
        <v>0.6</v>
      </c>
      <c r="J24" s="206">
        <f>SUM(J26:J42)</f>
        <v>1.08</v>
      </c>
      <c r="U24" s="206">
        <f>SUM(U26:U42)</f>
        <v>0.6</v>
      </c>
      <c r="V24" s="206">
        <f>SUM(V26:V42)</f>
        <v>1.08</v>
      </c>
      <c r="AG24" s="206">
        <f>SUM(AG26:AG42)</f>
        <v>0.6</v>
      </c>
      <c r="AH24" s="206">
        <f>SUM(AH26:AH42)</f>
        <v>1.08</v>
      </c>
      <c r="AS24" s="206">
        <f>SUM(AS26:AS42)</f>
        <v>0.6</v>
      </c>
      <c r="AT24" s="206">
        <f>SUM(AT26:AT42)</f>
        <v>1.08</v>
      </c>
      <c r="BE24" s="206">
        <f>SUM(BE26:BE42)</f>
        <v>0.6</v>
      </c>
      <c r="BF24" s="206">
        <f>SUM(BF26:BF42)</f>
        <v>1.08</v>
      </c>
    </row>
    <row r="25" spans="1:58" ht="17.25" customHeight="1">
      <c r="A25" s="408">
        <f>B$6</f>
        <v>500</v>
      </c>
      <c r="B25" s="282" t="s">
        <v>311</v>
      </c>
      <c r="C25" s="409" t="s">
        <v>7</v>
      </c>
      <c r="D25" s="409" t="s">
        <v>100</v>
      </c>
      <c r="E25" s="409" t="s">
        <v>101</v>
      </c>
      <c r="F25" s="409"/>
      <c r="G25" s="409"/>
      <c r="H25" s="409"/>
      <c r="I25" s="409" t="s">
        <v>100</v>
      </c>
      <c r="J25" s="409" t="s">
        <v>101</v>
      </c>
      <c r="M25" s="408">
        <f>N$6</f>
        <v>500</v>
      </c>
      <c r="N25" s="282" t="s">
        <v>311</v>
      </c>
      <c r="O25" s="409" t="s">
        <v>7</v>
      </c>
      <c r="P25" s="409" t="s">
        <v>100</v>
      </c>
      <c r="Q25" s="409" t="s">
        <v>101</v>
      </c>
      <c r="R25" s="409"/>
      <c r="S25" s="409"/>
      <c r="T25" s="409"/>
      <c r="U25" s="409" t="s">
        <v>100</v>
      </c>
      <c r="V25" s="409" t="s">
        <v>101</v>
      </c>
      <c r="Y25" s="408">
        <f>Z$6</f>
        <v>500</v>
      </c>
      <c r="Z25" s="282" t="s">
        <v>311</v>
      </c>
      <c r="AA25" s="409" t="s">
        <v>7</v>
      </c>
      <c r="AB25" s="409" t="s">
        <v>100</v>
      </c>
      <c r="AC25" s="409" t="s">
        <v>101</v>
      </c>
      <c r="AD25" s="409"/>
      <c r="AE25" s="409"/>
      <c r="AF25" s="409"/>
      <c r="AG25" s="409" t="s">
        <v>100</v>
      </c>
      <c r="AH25" s="409" t="s">
        <v>101</v>
      </c>
      <c r="AK25" s="408">
        <f>AL$6</f>
        <v>500</v>
      </c>
      <c r="AL25" s="282" t="s">
        <v>311</v>
      </c>
      <c r="AM25" s="409" t="s">
        <v>7</v>
      </c>
      <c r="AN25" s="409" t="s">
        <v>100</v>
      </c>
      <c r="AO25" s="409" t="s">
        <v>101</v>
      </c>
      <c r="AP25" s="409"/>
      <c r="AQ25" s="409"/>
      <c r="AR25" s="409"/>
      <c r="AS25" s="409" t="s">
        <v>100</v>
      </c>
      <c r="AT25" s="409" t="s">
        <v>101</v>
      </c>
      <c r="AW25" s="408">
        <f>AX$6</f>
        <v>500</v>
      </c>
      <c r="AX25" s="282" t="s">
        <v>311</v>
      </c>
      <c r="AY25" s="409" t="s">
        <v>7</v>
      </c>
      <c r="AZ25" s="409" t="s">
        <v>100</v>
      </c>
      <c r="BA25" s="409" t="s">
        <v>101</v>
      </c>
      <c r="BB25" s="409"/>
      <c r="BC25" s="409"/>
      <c r="BD25" s="409"/>
      <c r="BE25" s="409" t="s">
        <v>100</v>
      </c>
      <c r="BF25" s="409" t="s">
        <v>101</v>
      </c>
    </row>
    <row r="26" spans="1:58" ht="17.25" customHeight="1">
      <c r="A26" s="408">
        <f t="shared" ref="A26:A42" si="0">B$6</f>
        <v>500</v>
      </c>
      <c r="B26" s="410">
        <v>1</v>
      </c>
      <c r="C26" s="410">
        <v>100</v>
      </c>
      <c r="D26" s="282">
        <v>1</v>
      </c>
      <c r="E26" s="282">
        <f>D26*1.8</f>
        <v>1.8</v>
      </c>
      <c r="F26" s="273">
        <f>IF(A26&gt;=B26,1,0)</f>
        <v>1</v>
      </c>
      <c r="G26" s="273">
        <f>IF(A27&lt;C26,1,0)</f>
        <v>0</v>
      </c>
      <c r="H26" s="273">
        <f t="shared" ref="H26" si="1">F26+G26</f>
        <v>1</v>
      </c>
      <c r="I26" s="282">
        <f>IF(H26=2,D26,0)</f>
        <v>0</v>
      </c>
      <c r="J26" s="282">
        <f t="shared" ref="J26" si="2">IF(H26=2,E26,0)</f>
        <v>0</v>
      </c>
      <c r="M26" s="408">
        <f t="shared" ref="M26:M42" si="3">N$6</f>
        <v>500</v>
      </c>
      <c r="N26" s="410">
        <v>1</v>
      </c>
      <c r="O26" s="410">
        <v>100</v>
      </c>
      <c r="P26" s="282">
        <v>1</v>
      </c>
      <c r="Q26" s="282">
        <f>P26*1.8</f>
        <v>1.8</v>
      </c>
      <c r="R26" s="273">
        <f>IF(M26&gt;=N26,1,0)</f>
        <v>1</v>
      </c>
      <c r="S26" s="273">
        <f>IF(M27&lt;O26,1,0)</f>
        <v>0</v>
      </c>
      <c r="T26" s="273">
        <f t="shared" ref="T26:T42" si="4">R26+S26</f>
        <v>1</v>
      </c>
      <c r="U26" s="282">
        <f>IF(T26=2,P26,0)</f>
        <v>0</v>
      </c>
      <c r="V26" s="282">
        <f t="shared" ref="V26:V42" si="5">IF(T26=2,Q26,0)</f>
        <v>0</v>
      </c>
      <c r="Y26" s="408">
        <f t="shared" ref="Y26:Y42" si="6">Z$6</f>
        <v>500</v>
      </c>
      <c r="Z26" s="410">
        <v>1</v>
      </c>
      <c r="AA26" s="410">
        <v>100</v>
      </c>
      <c r="AB26" s="282">
        <v>1</v>
      </c>
      <c r="AC26" s="282">
        <f>AB26*1.8</f>
        <v>1.8</v>
      </c>
      <c r="AD26" s="273">
        <f>IF(Y26&gt;=Z26,1,0)</f>
        <v>1</v>
      </c>
      <c r="AE26" s="273">
        <f>IF(Y27&lt;AA26,1,0)</f>
        <v>0</v>
      </c>
      <c r="AF26" s="273">
        <f t="shared" ref="AF26:AF42" si="7">AD26+AE26</f>
        <v>1</v>
      </c>
      <c r="AG26" s="282">
        <f>IF(AF26=2,AB26,0)</f>
        <v>0</v>
      </c>
      <c r="AH26" s="282">
        <f t="shared" ref="AH26:AH42" si="8">IF(AF26=2,AC26,0)</f>
        <v>0</v>
      </c>
      <c r="AK26" s="408">
        <f t="shared" ref="AK26:AK42" si="9">AL$6</f>
        <v>500</v>
      </c>
      <c r="AL26" s="410">
        <v>1</v>
      </c>
      <c r="AM26" s="410">
        <v>100</v>
      </c>
      <c r="AN26" s="282">
        <v>1</v>
      </c>
      <c r="AO26" s="282">
        <f>AN26*1.8</f>
        <v>1.8</v>
      </c>
      <c r="AP26" s="273">
        <f>IF(AK26&gt;=AL26,1,0)</f>
        <v>1</v>
      </c>
      <c r="AQ26" s="273">
        <f>IF(AK27&lt;AM26,1,0)</f>
        <v>0</v>
      </c>
      <c r="AR26" s="273">
        <f t="shared" ref="AR26:AR42" si="10">AP26+AQ26</f>
        <v>1</v>
      </c>
      <c r="AS26" s="282">
        <f>IF(AR26=2,AN26,0)</f>
        <v>0</v>
      </c>
      <c r="AT26" s="282">
        <f t="shared" ref="AT26:AT42" si="11">IF(AR26=2,AO26,0)</f>
        <v>0</v>
      </c>
      <c r="AW26" s="408">
        <f t="shared" ref="AW26:AW42" si="12">AX$6</f>
        <v>500</v>
      </c>
      <c r="AX26" s="410">
        <v>1</v>
      </c>
      <c r="AY26" s="410">
        <v>100</v>
      </c>
      <c r="AZ26" s="282">
        <v>1</v>
      </c>
      <c r="BA26" s="282">
        <f>AZ26*1.8</f>
        <v>1.8</v>
      </c>
      <c r="BB26" s="273">
        <f>IF(AW26&gt;=AX26,1,0)</f>
        <v>1</v>
      </c>
      <c r="BC26" s="273">
        <f>IF(AW27&lt;AY26,1,0)</f>
        <v>0</v>
      </c>
      <c r="BD26" s="273">
        <f t="shared" ref="BD26:BD42" si="13">BB26+BC26</f>
        <v>1</v>
      </c>
      <c r="BE26" s="282">
        <f>IF(BD26=2,AZ26,0)</f>
        <v>0</v>
      </c>
      <c r="BF26" s="282">
        <f t="shared" ref="BF26:BF42" si="14">IF(BD26=2,BA26,0)</f>
        <v>0</v>
      </c>
    </row>
    <row r="27" spans="1:58" ht="17.25" customHeight="1">
      <c r="A27" s="408">
        <f t="shared" si="0"/>
        <v>500</v>
      </c>
      <c r="B27" s="410">
        <v>100</v>
      </c>
      <c r="C27" s="410">
        <v>200</v>
      </c>
      <c r="D27" s="411">
        <v>0.8</v>
      </c>
      <c r="E27" s="282">
        <f t="shared" ref="E27:E42" si="15">D27*1.8</f>
        <v>1.4400000000000002</v>
      </c>
      <c r="F27" s="273">
        <f t="shared" ref="F27:F42" si="16">IF(A27&gt;=B27,1,0)</f>
        <v>1</v>
      </c>
      <c r="G27" s="273">
        <f t="shared" ref="G27:G42" si="17">IF(A28&lt;C27,1,0)</f>
        <v>0</v>
      </c>
      <c r="H27" s="273">
        <f t="shared" ref="H27:H42" si="18">F27+G27</f>
        <v>1</v>
      </c>
      <c r="I27" s="282">
        <f t="shared" ref="I27:I42" si="19">IF(H27=2,D27,0)</f>
        <v>0</v>
      </c>
      <c r="J27" s="282">
        <f t="shared" ref="J27:J42" si="20">IF(H27=2,E27,0)</f>
        <v>0</v>
      </c>
      <c r="M27" s="408">
        <f t="shared" si="3"/>
        <v>500</v>
      </c>
      <c r="N27" s="410">
        <v>100</v>
      </c>
      <c r="O27" s="410">
        <v>200</v>
      </c>
      <c r="P27" s="411">
        <v>0.8</v>
      </c>
      <c r="Q27" s="282">
        <f t="shared" ref="Q27:Q42" si="21">P27*1.8</f>
        <v>1.4400000000000002</v>
      </c>
      <c r="R27" s="273">
        <f t="shared" ref="R27:R42" si="22">IF(M27&gt;=N27,1,0)</f>
        <v>1</v>
      </c>
      <c r="S27" s="273">
        <f t="shared" ref="S27:S42" si="23">IF(M28&lt;O27,1,0)</f>
        <v>0</v>
      </c>
      <c r="T27" s="273">
        <f t="shared" si="4"/>
        <v>1</v>
      </c>
      <c r="U27" s="282">
        <f t="shared" ref="U27:U42" si="24">IF(T27=2,P27,0)</f>
        <v>0</v>
      </c>
      <c r="V27" s="282">
        <f t="shared" si="5"/>
        <v>0</v>
      </c>
      <c r="Y27" s="408">
        <f t="shared" si="6"/>
        <v>500</v>
      </c>
      <c r="Z27" s="410">
        <v>100</v>
      </c>
      <c r="AA27" s="410">
        <v>200</v>
      </c>
      <c r="AB27" s="411">
        <v>0.8</v>
      </c>
      <c r="AC27" s="282">
        <f t="shared" ref="AC27:AC42" si="25">AB27*1.8</f>
        <v>1.4400000000000002</v>
      </c>
      <c r="AD27" s="273">
        <f t="shared" ref="AD27:AD42" si="26">IF(Y27&gt;=Z27,1,0)</f>
        <v>1</v>
      </c>
      <c r="AE27" s="273">
        <f t="shared" ref="AE27:AE42" si="27">IF(Y28&lt;AA27,1,0)</f>
        <v>0</v>
      </c>
      <c r="AF27" s="273">
        <f t="shared" si="7"/>
        <v>1</v>
      </c>
      <c r="AG27" s="282">
        <f t="shared" ref="AG27:AG42" si="28">IF(AF27=2,AB27,0)</f>
        <v>0</v>
      </c>
      <c r="AH27" s="282">
        <f t="shared" si="8"/>
        <v>0</v>
      </c>
      <c r="AK27" s="408">
        <f t="shared" si="9"/>
        <v>500</v>
      </c>
      <c r="AL27" s="410">
        <v>100</v>
      </c>
      <c r="AM27" s="410">
        <v>200</v>
      </c>
      <c r="AN27" s="411">
        <v>0.8</v>
      </c>
      <c r="AO27" s="282">
        <f t="shared" ref="AO27:AO42" si="29">AN27*1.8</f>
        <v>1.4400000000000002</v>
      </c>
      <c r="AP27" s="273">
        <f t="shared" ref="AP27:AP42" si="30">IF(AK27&gt;=AL27,1,0)</f>
        <v>1</v>
      </c>
      <c r="AQ27" s="273">
        <f t="shared" ref="AQ27:AQ42" si="31">IF(AK28&lt;AM27,1,0)</f>
        <v>0</v>
      </c>
      <c r="AR27" s="273">
        <f t="shared" si="10"/>
        <v>1</v>
      </c>
      <c r="AS27" s="282">
        <f t="shared" ref="AS27:AS42" si="32">IF(AR27=2,AN27,0)</f>
        <v>0</v>
      </c>
      <c r="AT27" s="282">
        <f t="shared" si="11"/>
        <v>0</v>
      </c>
      <c r="AW27" s="408">
        <f t="shared" si="12"/>
        <v>500</v>
      </c>
      <c r="AX27" s="410">
        <v>100</v>
      </c>
      <c r="AY27" s="410">
        <v>200</v>
      </c>
      <c r="AZ27" s="411">
        <v>0.8</v>
      </c>
      <c r="BA27" s="282">
        <f t="shared" ref="BA27:BA42" si="33">AZ27*1.8</f>
        <v>1.4400000000000002</v>
      </c>
      <c r="BB27" s="273">
        <f t="shared" ref="BB27:BB42" si="34">IF(AW27&gt;=AX27,1,0)</f>
        <v>1</v>
      </c>
      <c r="BC27" s="273">
        <f t="shared" ref="BC27:BC42" si="35">IF(AW28&lt;AY27,1,0)</f>
        <v>0</v>
      </c>
      <c r="BD27" s="273">
        <f t="shared" si="13"/>
        <v>1</v>
      </c>
      <c r="BE27" s="282">
        <f t="shared" ref="BE27:BE42" si="36">IF(BD27=2,AZ27,0)</f>
        <v>0</v>
      </c>
      <c r="BF27" s="282">
        <f t="shared" si="14"/>
        <v>0</v>
      </c>
    </row>
    <row r="28" spans="1:58" ht="17.25" customHeight="1">
      <c r="A28" s="408">
        <f t="shared" si="0"/>
        <v>500</v>
      </c>
      <c r="B28" s="410">
        <v>200</v>
      </c>
      <c r="C28" s="410">
        <v>300</v>
      </c>
      <c r="D28" s="411">
        <v>0.68</v>
      </c>
      <c r="E28" s="282">
        <f t="shared" si="15"/>
        <v>1.2240000000000002</v>
      </c>
      <c r="F28" s="273">
        <f t="shared" si="16"/>
        <v>1</v>
      </c>
      <c r="G28" s="273">
        <f t="shared" si="17"/>
        <v>0</v>
      </c>
      <c r="H28" s="273">
        <f t="shared" si="18"/>
        <v>1</v>
      </c>
      <c r="I28" s="282">
        <f t="shared" si="19"/>
        <v>0</v>
      </c>
      <c r="J28" s="282">
        <f t="shared" si="20"/>
        <v>0</v>
      </c>
      <c r="M28" s="408">
        <f t="shared" si="3"/>
        <v>500</v>
      </c>
      <c r="N28" s="410">
        <v>200</v>
      </c>
      <c r="O28" s="410">
        <v>300</v>
      </c>
      <c r="P28" s="411">
        <v>0.68</v>
      </c>
      <c r="Q28" s="282">
        <f t="shared" si="21"/>
        <v>1.2240000000000002</v>
      </c>
      <c r="R28" s="273">
        <f t="shared" si="22"/>
        <v>1</v>
      </c>
      <c r="S28" s="273">
        <f t="shared" si="23"/>
        <v>0</v>
      </c>
      <c r="T28" s="273">
        <f t="shared" si="4"/>
        <v>1</v>
      </c>
      <c r="U28" s="282">
        <f t="shared" si="24"/>
        <v>0</v>
      </c>
      <c r="V28" s="282">
        <f t="shared" si="5"/>
        <v>0</v>
      </c>
      <c r="Y28" s="408">
        <f t="shared" si="6"/>
        <v>500</v>
      </c>
      <c r="Z28" s="410">
        <v>200</v>
      </c>
      <c r="AA28" s="410">
        <v>300</v>
      </c>
      <c r="AB28" s="411">
        <v>0.68</v>
      </c>
      <c r="AC28" s="282">
        <f t="shared" si="25"/>
        <v>1.2240000000000002</v>
      </c>
      <c r="AD28" s="273">
        <f t="shared" si="26"/>
        <v>1</v>
      </c>
      <c r="AE28" s="273">
        <f t="shared" si="27"/>
        <v>0</v>
      </c>
      <c r="AF28" s="273">
        <f t="shared" si="7"/>
        <v>1</v>
      </c>
      <c r="AG28" s="282">
        <f t="shared" si="28"/>
        <v>0</v>
      </c>
      <c r="AH28" s="282">
        <f t="shared" si="8"/>
        <v>0</v>
      </c>
      <c r="AK28" s="408">
        <f t="shared" si="9"/>
        <v>500</v>
      </c>
      <c r="AL28" s="410">
        <v>200</v>
      </c>
      <c r="AM28" s="410">
        <v>300</v>
      </c>
      <c r="AN28" s="411">
        <v>0.68</v>
      </c>
      <c r="AO28" s="282">
        <f t="shared" si="29"/>
        <v>1.2240000000000002</v>
      </c>
      <c r="AP28" s="273">
        <f t="shared" si="30"/>
        <v>1</v>
      </c>
      <c r="AQ28" s="273">
        <f t="shared" si="31"/>
        <v>0</v>
      </c>
      <c r="AR28" s="273">
        <f t="shared" si="10"/>
        <v>1</v>
      </c>
      <c r="AS28" s="282">
        <f t="shared" si="32"/>
        <v>0</v>
      </c>
      <c r="AT28" s="282">
        <f t="shared" si="11"/>
        <v>0</v>
      </c>
      <c r="AW28" s="408">
        <f t="shared" si="12"/>
        <v>500</v>
      </c>
      <c r="AX28" s="410">
        <v>200</v>
      </c>
      <c r="AY28" s="410">
        <v>300</v>
      </c>
      <c r="AZ28" s="411">
        <v>0.68</v>
      </c>
      <c r="BA28" s="282">
        <f t="shared" si="33"/>
        <v>1.2240000000000002</v>
      </c>
      <c r="BB28" s="273">
        <f t="shared" si="34"/>
        <v>1</v>
      </c>
      <c r="BC28" s="273">
        <f t="shared" si="35"/>
        <v>0</v>
      </c>
      <c r="BD28" s="273">
        <f t="shared" si="13"/>
        <v>1</v>
      </c>
      <c r="BE28" s="282">
        <f t="shared" si="36"/>
        <v>0</v>
      </c>
      <c r="BF28" s="282">
        <f t="shared" si="14"/>
        <v>0</v>
      </c>
    </row>
    <row r="29" spans="1:58" ht="17.25" customHeight="1">
      <c r="A29" s="408">
        <f t="shared" si="0"/>
        <v>500</v>
      </c>
      <c r="B29" s="410">
        <v>300</v>
      </c>
      <c r="C29" s="410">
        <v>400</v>
      </c>
      <c r="D29" s="411">
        <v>0.64</v>
      </c>
      <c r="E29" s="282">
        <f t="shared" si="15"/>
        <v>1.1520000000000001</v>
      </c>
      <c r="F29" s="273">
        <f t="shared" si="16"/>
        <v>1</v>
      </c>
      <c r="G29" s="273">
        <f t="shared" si="17"/>
        <v>0</v>
      </c>
      <c r="H29" s="273">
        <f t="shared" si="18"/>
        <v>1</v>
      </c>
      <c r="I29" s="282">
        <f t="shared" si="19"/>
        <v>0</v>
      </c>
      <c r="J29" s="282">
        <f t="shared" si="20"/>
        <v>0</v>
      </c>
      <c r="M29" s="408">
        <f t="shared" si="3"/>
        <v>500</v>
      </c>
      <c r="N29" s="410">
        <v>300</v>
      </c>
      <c r="O29" s="410">
        <v>400</v>
      </c>
      <c r="P29" s="411">
        <v>0.64</v>
      </c>
      <c r="Q29" s="282">
        <f t="shared" si="21"/>
        <v>1.1520000000000001</v>
      </c>
      <c r="R29" s="273">
        <f t="shared" si="22"/>
        <v>1</v>
      </c>
      <c r="S29" s="273">
        <f t="shared" si="23"/>
        <v>0</v>
      </c>
      <c r="T29" s="273">
        <f t="shared" si="4"/>
        <v>1</v>
      </c>
      <c r="U29" s="282">
        <f t="shared" si="24"/>
        <v>0</v>
      </c>
      <c r="V29" s="282">
        <f t="shared" si="5"/>
        <v>0</v>
      </c>
      <c r="Y29" s="408">
        <f t="shared" si="6"/>
        <v>500</v>
      </c>
      <c r="Z29" s="410">
        <v>300</v>
      </c>
      <c r="AA29" s="410">
        <v>400</v>
      </c>
      <c r="AB29" s="411">
        <v>0.64</v>
      </c>
      <c r="AC29" s="282">
        <f t="shared" si="25"/>
        <v>1.1520000000000001</v>
      </c>
      <c r="AD29" s="273">
        <f t="shared" si="26"/>
        <v>1</v>
      </c>
      <c r="AE29" s="273">
        <f t="shared" si="27"/>
        <v>0</v>
      </c>
      <c r="AF29" s="273">
        <f t="shared" si="7"/>
        <v>1</v>
      </c>
      <c r="AG29" s="282">
        <f t="shared" si="28"/>
        <v>0</v>
      </c>
      <c r="AH29" s="282">
        <f t="shared" si="8"/>
        <v>0</v>
      </c>
      <c r="AK29" s="408">
        <f t="shared" si="9"/>
        <v>500</v>
      </c>
      <c r="AL29" s="410">
        <v>300</v>
      </c>
      <c r="AM29" s="410">
        <v>400</v>
      </c>
      <c r="AN29" s="411">
        <v>0.64</v>
      </c>
      <c r="AO29" s="282">
        <f t="shared" si="29"/>
        <v>1.1520000000000001</v>
      </c>
      <c r="AP29" s="273">
        <f t="shared" si="30"/>
        <v>1</v>
      </c>
      <c r="AQ29" s="273">
        <f t="shared" si="31"/>
        <v>0</v>
      </c>
      <c r="AR29" s="273">
        <f t="shared" si="10"/>
        <v>1</v>
      </c>
      <c r="AS29" s="282">
        <f t="shared" si="32"/>
        <v>0</v>
      </c>
      <c r="AT29" s="282">
        <f t="shared" si="11"/>
        <v>0</v>
      </c>
      <c r="AW29" s="408">
        <f t="shared" si="12"/>
        <v>500</v>
      </c>
      <c r="AX29" s="410">
        <v>300</v>
      </c>
      <c r="AY29" s="410">
        <v>400</v>
      </c>
      <c r="AZ29" s="411">
        <v>0.64</v>
      </c>
      <c r="BA29" s="282">
        <f t="shared" si="33"/>
        <v>1.1520000000000001</v>
      </c>
      <c r="BB29" s="273">
        <f t="shared" si="34"/>
        <v>1</v>
      </c>
      <c r="BC29" s="273">
        <f t="shared" si="35"/>
        <v>0</v>
      </c>
      <c r="BD29" s="273">
        <f t="shared" si="13"/>
        <v>1</v>
      </c>
      <c r="BE29" s="282">
        <f t="shared" si="36"/>
        <v>0</v>
      </c>
      <c r="BF29" s="282">
        <f t="shared" si="14"/>
        <v>0</v>
      </c>
    </row>
    <row r="30" spans="1:58" ht="17.25" customHeight="1">
      <c r="A30" s="408">
        <f t="shared" si="0"/>
        <v>500</v>
      </c>
      <c r="B30" s="410">
        <v>400</v>
      </c>
      <c r="C30" s="410">
        <v>500</v>
      </c>
      <c r="D30" s="411">
        <v>0.62</v>
      </c>
      <c r="E30" s="282">
        <f t="shared" si="15"/>
        <v>1.1160000000000001</v>
      </c>
      <c r="F30" s="273">
        <f t="shared" si="16"/>
        <v>1</v>
      </c>
      <c r="G30" s="273">
        <f t="shared" si="17"/>
        <v>0</v>
      </c>
      <c r="H30" s="273">
        <f t="shared" si="18"/>
        <v>1</v>
      </c>
      <c r="I30" s="282">
        <f t="shared" si="19"/>
        <v>0</v>
      </c>
      <c r="J30" s="282">
        <f t="shared" si="20"/>
        <v>0</v>
      </c>
      <c r="M30" s="408">
        <f t="shared" si="3"/>
        <v>500</v>
      </c>
      <c r="N30" s="410">
        <v>400</v>
      </c>
      <c r="O30" s="410">
        <v>500</v>
      </c>
      <c r="P30" s="411">
        <v>0.62</v>
      </c>
      <c r="Q30" s="282">
        <f t="shared" si="21"/>
        <v>1.1160000000000001</v>
      </c>
      <c r="R30" s="273">
        <f t="shared" si="22"/>
        <v>1</v>
      </c>
      <c r="S30" s="273">
        <f t="shared" si="23"/>
        <v>0</v>
      </c>
      <c r="T30" s="273">
        <f t="shared" si="4"/>
        <v>1</v>
      </c>
      <c r="U30" s="282">
        <f t="shared" si="24"/>
        <v>0</v>
      </c>
      <c r="V30" s="282">
        <f t="shared" si="5"/>
        <v>0</v>
      </c>
      <c r="Y30" s="408">
        <f t="shared" si="6"/>
        <v>500</v>
      </c>
      <c r="Z30" s="410">
        <v>400</v>
      </c>
      <c r="AA30" s="410">
        <v>500</v>
      </c>
      <c r="AB30" s="411">
        <v>0.62</v>
      </c>
      <c r="AC30" s="282">
        <f t="shared" si="25"/>
        <v>1.1160000000000001</v>
      </c>
      <c r="AD30" s="273">
        <f t="shared" si="26"/>
        <v>1</v>
      </c>
      <c r="AE30" s="273">
        <f t="shared" si="27"/>
        <v>0</v>
      </c>
      <c r="AF30" s="273">
        <f t="shared" si="7"/>
        <v>1</v>
      </c>
      <c r="AG30" s="282">
        <f t="shared" si="28"/>
        <v>0</v>
      </c>
      <c r="AH30" s="282">
        <f t="shared" si="8"/>
        <v>0</v>
      </c>
      <c r="AK30" s="408">
        <f t="shared" si="9"/>
        <v>500</v>
      </c>
      <c r="AL30" s="410">
        <v>400</v>
      </c>
      <c r="AM30" s="410">
        <v>500</v>
      </c>
      <c r="AN30" s="411">
        <v>0.62</v>
      </c>
      <c r="AO30" s="282">
        <f t="shared" si="29"/>
        <v>1.1160000000000001</v>
      </c>
      <c r="AP30" s="273">
        <f t="shared" si="30"/>
        <v>1</v>
      </c>
      <c r="AQ30" s="273">
        <f t="shared" si="31"/>
        <v>0</v>
      </c>
      <c r="AR30" s="273">
        <f t="shared" si="10"/>
        <v>1</v>
      </c>
      <c r="AS30" s="282">
        <f t="shared" si="32"/>
        <v>0</v>
      </c>
      <c r="AT30" s="282">
        <f t="shared" si="11"/>
        <v>0</v>
      </c>
      <c r="AW30" s="408">
        <f t="shared" si="12"/>
        <v>500</v>
      </c>
      <c r="AX30" s="410">
        <v>400</v>
      </c>
      <c r="AY30" s="410">
        <v>500</v>
      </c>
      <c r="AZ30" s="411">
        <v>0.62</v>
      </c>
      <c r="BA30" s="282">
        <f t="shared" si="33"/>
        <v>1.1160000000000001</v>
      </c>
      <c r="BB30" s="273">
        <f t="shared" si="34"/>
        <v>1</v>
      </c>
      <c r="BC30" s="273">
        <f t="shared" si="35"/>
        <v>0</v>
      </c>
      <c r="BD30" s="273">
        <f t="shared" si="13"/>
        <v>1</v>
      </c>
      <c r="BE30" s="282">
        <f t="shared" si="36"/>
        <v>0</v>
      </c>
      <c r="BF30" s="282">
        <f t="shared" si="14"/>
        <v>0</v>
      </c>
    </row>
    <row r="31" spans="1:58" ht="17.25" customHeight="1">
      <c r="A31" s="408">
        <f t="shared" si="0"/>
        <v>500</v>
      </c>
      <c r="B31" s="410">
        <v>500</v>
      </c>
      <c r="C31" s="410">
        <v>600</v>
      </c>
      <c r="D31" s="411">
        <v>0.6</v>
      </c>
      <c r="E31" s="282">
        <f t="shared" si="15"/>
        <v>1.08</v>
      </c>
      <c r="F31" s="273">
        <f t="shared" si="16"/>
        <v>1</v>
      </c>
      <c r="G31" s="273">
        <f t="shared" si="17"/>
        <v>1</v>
      </c>
      <c r="H31" s="273">
        <f t="shared" si="18"/>
        <v>2</v>
      </c>
      <c r="I31" s="282">
        <f t="shared" si="19"/>
        <v>0.6</v>
      </c>
      <c r="J31" s="282">
        <f t="shared" si="20"/>
        <v>1.08</v>
      </c>
      <c r="M31" s="408">
        <f t="shared" si="3"/>
        <v>500</v>
      </c>
      <c r="N31" s="410">
        <v>500</v>
      </c>
      <c r="O31" s="410">
        <v>600</v>
      </c>
      <c r="P31" s="411">
        <v>0.6</v>
      </c>
      <c r="Q31" s="282">
        <f t="shared" si="21"/>
        <v>1.08</v>
      </c>
      <c r="R31" s="273">
        <f t="shared" si="22"/>
        <v>1</v>
      </c>
      <c r="S31" s="273">
        <f t="shared" si="23"/>
        <v>1</v>
      </c>
      <c r="T31" s="273">
        <f t="shared" si="4"/>
        <v>2</v>
      </c>
      <c r="U31" s="282">
        <f t="shared" si="24"/>
        <v>0.6</v>
      </c>
      <c r="V31" s="282">
        <f t="shared" si="5"/>
        <v>1.08</v>
      </c>
      <c r="Y31" s="408">
        <f t="shared" si="6"/>
        <v>500</v>
      </c>
      <c r="Z31" s="410">
        <v>500</v>
      </c>
      <c r="AA31" s="410">
        <v>600</v>
      </c>
      <c r="AB31" s="411">
        <v>0.6</v>
      </c>
      <c r="AC31" s="282">
        <f t="shared" si="25"/>
        <v>1.08</v>
      </c>
      <c r="AD31" s="273">
        <f t="shared" si="26"/>
        <v>1</v>
      </c>
      <c r="AE31" s="273">
        <f t="shared" si="27"/>
        <v>1</v>
      </c>
      <c r="AF31" s="273">
        <f t="shared" si="7"/>
        <v>2</v>
      </c>
      <c r="AG31" s="282">
        <f t="shared" si="28"/>
        <v>0.6</v>
      </c>
      <c r="AH31" s="282">
        <f t="shared" si="8"/>
        <v>1.08</v>
      </c>
      <c r="AK31" s="408">
        <f t="shared" si="9"/>
        <v>500</v>
      </c>
      <c r="AL31" s="410">
        <v>500</v>
      </c>
      <c r="AM31" s="410">
        <v>600</v>
      </c>
      <c r="AN31" s="411">
        <v>0.6</v>
      </c>
      <c r="AO31" s="282">
        <f t="shared" si="29"/>
        <v>1.08</v>
      </c>
      <c r="AP31" s="273">
        <f t="shared" si="30"/>
        <v>1</v>
      </c>
      <c r="AQ31" s="273">
        <f t="shared" si="31"/>
        <v>1</v>
      </c>
      <c r="AR31" s="273">
        <f t="shared" si="10"/>
        <v>2</v>
      </c>
      <c r="AS31" s="282">
        <f t="shared" si="32"/>
        <v>0.6</v>
      </c>
      <c r="AT31" s="282">
        <f t="shared" si="11"/>
        <v>1.08</v>
      </c>
      <c r="AW31" s="408">
        <f t="shared" si="12"/>
        <v>500</v>
      </c>
      <c r="AX31" s="410">
        <v>500</v>
      </c>
      <c r="AY31" s="410">
        <v>600</v>
      </c>
      <c r="AZ31" s="411">
        <v>0.6</v>
      </c>
      <c r="BA31" s="282">
        <f t="shared" si="33"/>
        <v>1.08</v>
      </c>
      <c r="BB31" s="273">
        <f t="shared" si="34"/>
        <v>1</v>
      </c>
      <c r="BC31" s="273">
        <f t="shared" si="35"/>
        <v>1</v>
      </c>
      <c r="BD31" s="273">
        <f t="shared" si="13"/>
        <v>2</v>
      </c>
      <c r="BE31" s="282">
        <f t="shared" si="36"/>
        <v>0.6</v>
      </c>
      <c r="BF31" s="282">
        <f t="shared" si="14"/>
        <v>1.08</v>
      </c>
    </row>
    <row r="32" spans="1:58" ht="17.25" customHeight="1">
      <c r="A32" s="408">
        <f t="shared" si="0"/>
        <v>500</v>
      </c>
      <c r="B32" s="410">
        <v>600</v>
      </c>
      <c r="C32" s="410">
        <v>700</v>
      </c>
      <c r="D32" s="411">
        <v>0.59</v>
      </c>
      <c r="E32" s="282">
        <f t="shared" si="15"/>
        <v>1.0620000000000001</v>
      </c>
      <c r="F32" s="273">
        <f t="shared" si="16"/>
        <v>0</v>
      </c>
      <c r="G32" s="273">
        <f t="shared" si="17"/>
        <v>1</v>
      </c>
      <c r="H32" s="273">
        <f t="shared" si="18"/>
        <v>1</v>
      </c>
      <c r="I32" s="282">
        <f t="shared" si="19"/>
        <v>0</v>
      </c>
      <c r="J32" s="282">
        <f t="shared" si="20"/>
        <v>0</v>
      </c>
      <c r="M32" s="408">
        <f t="shared" si="3"/>
        <v>500</v>
      </c>
      <c r="N32" s="410">
        <v>600</v>
      </c>
      <c r="O32" s="410">
        <v>700</v>
      </c>
      <c r="P32" s="411">
        <v>0.59</v>
      </c>
      <c r="Q32" s="282">
        <f t="shared" si="21"/>
        <v>1.0620000000000001</v>
      </c>
      <c r="R32" s="273">
        <f t="shared" si="22"/>
        <v>0</v>
      </c>
      <c r="S32" s="273">
        <f t="shared" si="23"/>
        <v>1</v>
      </c>
      <c r="T32" s="273">
        <f t="shared" si="4"/>
        <v>1</v>
      </c>
      <c r="U32" s="282">
        <f t="shared" si="24"/>
        <v>0</v>
      </c>
      <c r="V32" s="282">
        <f t="shared" si="5"/>
        <v>0</v>
      </c>
      <c r="Y32" s="408">
        <f t="shared" si="6"/>
        <v>500</v>
      </c>
      <c r="Z32" s="410">
        <v>600</v>
      </c>
      <c r="AA32" s="410">
        <v>700</v>
      </c>
      <c r="AB32" s="411">
        <v>0.59</v>
      </c>
      <c r="AC32" s="282">
        <f t="shared" si="25"/>
        <v>1.0620000000000001</v>
      </c>
      <c r="AD32" s="273">
        <f t="shared" si="26"/>
        <v>0</v>
      </c>
      <c r="AE32" s="273">
        <f t="shared" si="27"/>
        <v>1</v>
      </c>
      <c r="AF32" s="273">
        <f t="shared" si="7"/>
        <v>1</v>
      </c>
      <c r="AG32" s="282">
        <f t="shared" si="28"/>
        <v>0</v>
      </c>
      <c r="AH32" s="282">
        <f t="shared" si="8"/>
        <v>0</v>
      </c>
      <c r="AK32" s="408">
        <f t="shared" si="9"/>
        <v>500</v>
      </c>
      <c r="AL32" s="410">
        <v>600</v>
      </c>
      <c r="AM32" s="410">
        <v>700</v>
      </c>
      <c r="AN32" s="411">
        <v>0.59</v>
      </c>
      <c r="AO32" s="282">
        <f t="shared" si="29"/>
        <v>1.0620000000000001</v>
      </c>
      <c r="AP32" s="273">
        <f t="shared" si="30"/>
        <v>0</v>
      </c>
      <c r="AQ32" s="273">
        <f t="shared" si="31"/>
        <v>1</v>
      </c>
      <c r="AR32" s="273">
        <f t="shared" si="10"/>
        <v>1</v>
      </c>
      <c r="AS32" s="282">
        <f t="shared" si="32"/>
        <v>0</v>
      </c>
      <c r="AT32" s="282">
        <f t="shared" si="11"/>
        <v>0</v>
      </c>
      <c r="AW32" s="408">
        <f t="shared" si="12"/>
        <v>500</v>
      </c>
      <c r="AX32" s="410">
        <v>600</v>
      </c>
      <c r="AY32" s="410">
        <v>700</v>
      </c>
      <c r="AZ32" s="411">
        <v>0.59</v>
      </c>
      <c r="BA32" s="282">
        <f t="shared" si="33"/>
        <v>1.0620000000000001</v>
      </c>
      <c r="BB32" s="273">
        <f t="shared" si="34"/>
        <v>0</v>
      </c>
      <c r="BC32" s="273">
        <f t="shared" si="35"/>
        <v>1</v>
      </c>
      <c r="BD32" s="273">
        <f t="shared" si="13"/>
        <v>1</v>
      </c>
      <c r="BE32" s="282">
        <f t="shared" si="36"/>
        <v>0</v>
      </c>
      <c r="BF32" s="282">
        <f t="shared" si="14"/>
        <v>0</v>
      </c>
    </row>
    <row r="33" spans="1:58" ht="17.25" customHeight="1">
      <c r="A33" s="408">
        <f t="shared" si="0"/>
        <v>500</v>
      </c>
      <c r="B33" s="410">
        <v>700</v>
      </c>
      <c r="C33" s="410">
        <v>800</v>
      </c>
      <c r="D33" s="411">
        <v>0.57999999999999996</v>
      </c>
      <c r="E33" s="282">
        <f t="shared" si="15"/>
        <v>1.044</v>
      </c>
      <c r="F33" s="273">
        <f t="shared" si="16"/>
        <v>0</v>
      </c>
      <c r="G33" s="273">
        <f t="shared" si="17"/>
        <v>1</v>
      </c>
      <c r="H33" s="273">
        <f t="shared" si="18"/>
        <v>1</v>
      </c>
      <c r="I33" s="282">
        <f t="shared" si="19"/>
        <v>0</v>
      </c>
      <c r="J33" s="282">
        <f t="shared" si="20"/>
        <v>0</v>
      </c>
      <c r="M33" s="408">
        <f t="shared" si="3"/>
        <v>500</v>
      </c>
      <c r="N33" s="410">
        <v>700</v>
      </c>
      <c r="O33" s="410">
        <v>800</v>
      </c>
      <c r="P33" s="411">
        <v>0.57999999999999996</v>
      </c>
      <c r="Q33" s="282">
        <f t="shared" si="21"/>
        <v>1.044</v>
      </c>
      <c r="R33" s="273">
        <f t="shared" si="22"/>
        <v>0</v>
      </c>
      <c r="S33" s="273">
        <f t="shared" si="23"/>
        <v>1</v>
      </c>
      <c r="T33" s="273">
        <f t="shared" si="4"/>
        <v>1</v>
      </c>
      <c r="U33" s="282">
        <f t="shared" si="24"/>
        <v>0</v>
      </c>
      <c r="V33" s="282">
        <f t="shared" si="5"/>
        <v>0</v>
      </c>
      <c r="Y33" s="408">
        <f t="shared" si="6"/>
        <v>500</v>
      </c>
      <c r="Z33" s="410">
        <v>700</v>
      </c>
      <c r="AA33" s="410">
        <v>800</v>
      </c>
      <c r="AB33" s="411">
        <v>0.57999999999999996</v>
      </c>
      <c r="AC33" s="282">
        <f t="shared" si="25"/>
        <v>1.044</v>
      </c>
      <c r="AD33" s="273">
        <f t="shared" si="26"/>
        <v>0</v>
      </c>
      <c r="AE33" s="273">
        <f t="shared" si="27"/>
        <v>1</v>
      </c>
      <c r="AF33" s="273">
        <f t="shared" si="7"/>
        <v>1</v>
      </c>
      <c r="AG33" s="282">
        <f t="shared" si="28"/>
        <v>0</v>
      </c>
      <c r="AH33" s="282">
        <f t="shared" si="8"/>
        <v>0</v>
      </c>
      <c r="AK33" s="408">
        <f t="shared" si="9"/>
        <v>500</v>
      </c>
      <c r="AL33" s="410">
        <v>700</v>
      </c>
      <c r="AM33" s="410">
        <v>800</v>
      </c>
      <c r="AN33" s="411">
        <v>0.57999999999999996</v>
      </c>
      <c r="AO33" s="282">
        <f t="shared" si="29"/>
        <v>1.044</v>
      </c>
      <c r="AP33" s="273">
        <f t="shared" si="30"/>
        <v>0</v>
      </c>
      <c r="AQ33" s="273">
        <f t="shared" si="31"/>
        <v>1</v>
      </c>
      <c r="AR33" s="273">
        <f t="shared" si="10"/>
        <v>1</v>
      </c>
      <c r="AS33" s="282">
        <f t="shared" si="32"/>
        <v>0</v>
      </c>
      <c r="AT33" s="282">
        <f t="shared" si="11"/>
        <v>0</v>
      </c>
      <c r="AW33" s="408">
        <f t="shared" si="12"/>
        <v>500</v>
      </c>
      <c r="AX33" s="410">
        <v>700</v>
      </c>
      <c r="AY33" s="410">
        <v>800</v>
      </c>
      <c r="AZ33" s="411">
        <v>0.57999999999999996</v>
      </c>
      <c r="BA33" s="282">
        <f t="shared" si="33"/>
        <v>1.044</v>
      </c>
      <c r="BB33" s="273">
        <f t="shared" si="34"/>
        <v>0</v>
      </c>
      <c r="BC33" s="273">
        <f t="shared" si="35"/>
        <v>1</v>
      </c>
      <c r="BD33" s="273">
        <f t="shared" si="13"/>
        <v>1</v>
      </c>
      <c r="BE33" s="282">
        <f t="shared" si="36"/>
        <v>0</v>
      </c>
      <c r="BF33" s="282">
        <f t="shared" si="14"/>
        <v>0</v>
      </c>
    </row>
    <row r="34" spans="1:58" ht="17.25" customHeight="1">
      <c r="A34" s="408">
        <f t="shared" si="0"/>
        <v>500</v>
      </c>
      <c r="B34" s="410">
        <v>800</v>
      </c>
      <c r="C34" s="410">
        <v>900</v>
      </c>
      <c r="D34" s="411">
        <v>0.56000000000000005</v>
      </c>
      <c r="E34" s="282">
        <f t="shared" si="15"/>
        <v>1.0080000000000002</v>
      </c>
      <c r="F34" s="273">
        <f t="shared" si="16"/>
        <v>0</v>
      </c>
      <c r="G34" s="273">
        <f t="shared" si="17"/>
        <v>1</v>
      </c>
      <c r="H34" s="273">
        <f t="shared" si="18"/>
        <v>1</v>
      </c>
      <c r="I34" s="282">
        <f t="shared" si="19"/>
        <v>0</v>
      </c>
      <c r="J34" s="282">
        <f t="shared" si="20"/>
        <v>0</v>
      </c>
      <c r="M34" s="408">
        <f t="shared" si="3"/>
        <v>500</v>
      </c>
      <c r="N34" s="410">
        <v>800</v>
      </c>
      <c r="O34" s="410">
        <v>900</v>
      </c>
      <c r="P34" s="411">
        <v>0.56000000000000005</v>
      </c>
      <c r="Q34" s="282">
        <f t="shared" si="21"/>
        <v>1.0080000000000002</v>
      </c>
      <c r="R34" s="273">
        <f t="shared" si="22"/>
        <v>0</v>
      </c>
      <c r="S34" s="273">
        <f t="shared" si="23"/>
        <v>1</v>
      </c>
      <c r="T34" s="273">
        <f t="shared" si="4"/>
        <v>1</v>
      </c>
      <c r="U34" s="282">
        <f t="shared" si="24"/>
        <v>0</v>
      </c>
      <c r="V34" s="282">
        <f t="shared" si="5"/>
        <v>0</v>
      </c>
      <c r="Y34" s="408">
        <f t="shared" si="6"/>
        <v>500</v>
      </c>
      <c r="Z34" s="410">
        <v>800</v>
      </c>
      <c r="AA34" s="410">
        <v>900</v>
      </c>
      <c r="AB34" s="411">
        <v>0.56000000000000005</v>
      </c>
      <c r="AC34" s="282">
        <f t="shared" si="25"/>
        <v>1.0080000000000002</v>
      </c>
      <c r="AD34" s="273">
        <f t="shared" si="26"/>
        <v>0</v>
      </c>
      <c r="AE34" s="273">
        <f t="shared" si="27"/>
        <v>1</v>
      </c>
      <c r="AF34" s="273">
        <f t="shared" si="7"/>
        <v>1</v>
      </c>
      <c r="AG34" s="282">
        <f t="shared" si="28"/>
        <v>0</v>
      </c>
      <c r="AH34" s="282">
        <f t="shared" si="8"/>
        <v>0</v>
      </c>
      <c r="AK34" s="408">
        <f t="shared" si="9"/>
        <v>500</v>
      </c>
      <c r="AL34" s="410">
        <v>800</v>
      </c>
      <c r="AM34" s="410">
        <v>900</v>
      </c>
      <c r="AN34" s="411">
        <v>0.56000000000000005</v>
      </c>
      <c r="AO34" s="282">
        <f t="shared" si="29"/>
        <v>1.0080000000000002</v>
      </c>
      <c r="AP34" s="273">
        <f t="shared" si="30"/>
        <v>0</v>
      </c>
      <c r="AQ34" s="273">
        <f t="shared" si="31"/>
        <v>1</v>
      </c>
      <c r="AR34" s="273">
        <f t="shared" si="10"/>
        <v>1</v>
      </c>
      <c r="AS34" s="282">
        <f t="shared" si="32"/>
        <v>0</v>
      </c>
      <c r="AT34" s="282">
        <f t="shared" si="11"/>
        <v>0</v>
      </c>
      <c r="AW34" s="408">
        <f t="shared" si="12"/>
        <v>500</v>
      </c>
      <c r="AX34" s="410">
        <v>800</v>
      </c>
      <c r="AY34" s="410">
        <v>900</v>
      </c>
      <c r="AZ34" s="411">
        <v>0.56000000000000005</v>
      </c>
      <c r="BA34" s="282">
        <f t="shared" si="33"/>
        <v>1.0080000000000002</v>
      </c>
      <c r="BB34" s="273">
        <f t="shared" si="34"/>
        <v>0</v>
      </c>
      <c r="BC34" s="273">
        <f t="shared" si="35"/>
        <v>1</v>
      </c>
      <c r="BD34" s="273">
        <f t="shared" si="13"/>
        <v>1</v>
      </c>
      <c r="BE34" s="282">
        <f t="shared" si="36"/>
        <v>0</v>
      </c>
      <c r="BF34" s="282">
        <f t="shared" si="14"/>
        <v>0</v>
      </c>
    </row>
    <row r="35" spans="1:58" ht="17.25" customHeight="1">
      <c r="A35" s="408">
        <f t="shared" si="0"/>
        <v>500</v>
      </c>
      <c r="B35" s="410">
        <v>900</v>
      </c>
      <c r="C35" s="410">
        <v>1000</v>
      </c>
      <c r="D35" s="411">
        <v>0.55000000000000004</v>
      </c>
      <c r="E35" s="282">
        <f t="shared" si="15"/>
        <v>0.9900000000000001</v>
      </c>
      <c r="F35" s="273">
        <f t="shared" si="16"/>
        <v>0</v>
      </c>
      <c r="G35" s="273">
        <f t="shared" si="17"/>
        <v>1</v>
      </c>
      <c r="H35" s="273">
        <f t="shared" si="18"/>
        <v>1</v>
      </c>
      <c r="I35" s="282">
        <f t="shared" si="19"/>
        <v>0</v>
      </c>
      <c r="J35" s="282">
        <f t="shared" si="20"/>
        <v>0</v>
      </c>
      <c r="M35" s="408">
        <f t="shared" si="3"/>
        <v>500</v>
      </c>
      <c r="N35" s="410">
        <v>900</v>
      </c>
      <c r="O35" s="410">
        <v>1000</v>
      </c>
      <c r="P35" s="411">
        <v>0.55000000000000004</v>
      </c>
      <c r="Q35" s="282">
        <f t="shared" si="21"/>
        <v>0.9900000000000001</v>
      </c>
      <c r="R35" s="273">
        <f t="shared" si="22"/>
        <v>0</v>
      </c>
      <c r="S35" s="273">
        <f t="shared" si="23"/>
        <v>1</v>
      </c>
      <c r="T35" s="273">
        <f t="shared" si="4"/>
        <v>1</v>
      </c>
      <c r="U35" s="282">
        <f t="shared" si="24"/>
        <v>0</v>
      </c>
      <c r="V35" s="282">
        <f t="shared" si="5"/>
        <v>0</v>
      </c>
      <c r="Y35" s="408">
        <f t="shared" si="6"/>
        <v>500</v>
      </c>
      <c r="Z35" s="410">
        <v>900</v>
      </c>
      <c r="AA35" s="410">
        <v>1000</v>
      </c>
      <c r="AB35" s="411">
        <v>0.55000000000000004</v>
      </c>
      <c r="AC35" s="282">
        <f t="shared" si="25"/>
        <v>0.9900000000000001</v>
      </c>
      <c r="AD35" s="273">
        <f t="shared" si="26"/>
        <v>0</v>
      </c>
      <c r="AE35" s="273">
        <f t="shared" si="27"/>
        <v>1</v>
      </c>
      <c r="AF35" s="273">
        <f t="shared" si="7"/>
        <v>1</v>
      </c>
      <c r="AG35" s="282">
        <f t="shared" si="28"/>
        <v>0</v>
      </c>
      <c r="AH35" s="282">
        <f t="shared" si="8"/>
        <v>0</v>
      </c>
      <c r="AK35" s="408">
        <f t="shared" si="9"/>
        <v>500</v>
      </c>
      <c r="AL35" s="410">
        <v>900</v>
      </c>
      <c r="AM35" s="410">
        <v>1000</v>
      </c>
      <c r="AN35" s="411">
        <v>0.55000000000000004</v>
      </c>
      <c r="AO35" s="282">
        <f t="shared" si="29"/>
        <v>0.9900000000000001</v>
      </c>
      <c r="AP35" s="273">
        <f t="shared" si="30"/>
        <v>0</v>
      </c>
      <c r="AQ35" s="273">
        <f t="shared" si="31"/>
        <v>1</v>
      </c>
      <c r="AR35" s="273">
        <f t="shared" si="10"/>
        <v>1</v>
      </c>
      <c r="AS35" s="282">
        <f t="shared" si="32"/>
        <v>0</v>
      </c>
      <c r="AT35" s="282">
        <f t="shared" si="11"/>
        <v>0</v>
      </c>
      <c r="AW35" s="408">
        <f t="shared" si="12"/>
        <v>500</v>
      </c>
      <c r="AX35" s="410">
        <v>900</v>
      </c>
      <c r="AY35" s="410">
        <v>1000</v>
      </c>
      <c r="AZ35" s="411">
        <v>0.55000000000000004</v>
      </c>
      <c r="BA35" s="282">
        <f t="shared" si="33"/>
        <v>0.9900000000000001</v>
      </c>
      <c r="BB35" s="273">
        <f t="shared" si="34"/>
        <v>0</v>
      </c>
      <c r="BC35" s="273">
        <f t="shared" si="35"/>
        <v>1</v>
      </c>
      <c r="BD35" s="273">
        <f t="shared" si="13"/>
        <v>1</v>
      </c>
      <c r="BE35" s="282">
        <f t="shared" si="36"/>
        <v>0</v>
      </c>
      <c r="BF35" s="282">
        <f t="shared" si="14"/>
        <v>0</v>
      </c>
    </row>
    <row r="36" spans="1:58" ht="17.25" customHeight="1">
      <c r="A36" s="408">
        <f t="shared" si="0"/>
        <v>500</v>
      </c>
      <c r="B36" s="410">
        <v>1000</v>
      </c>
      <c r="C36" s="410">
        <v>1500</v>
      </c>
      <c r="D36" s="411">
        <v>0.54</v>
      </c>
      <c r="E36" s="282">
        <f t="shared" si="15"/>
        <v>0.97200000000000009</v>
      </c>
      <c r="F36" s="273">
        <f t="shared" si="16"/>
        <v>0</v>
      </c>
      <c r="G36" s="273">
        <f t="shared" si="17"/>
        <v>1</v>
      </c>
      <c r="H36" s="273">
        <f t="shared" si="18"/>
        <v>1</v>
      </c>
      <c r="I36" s="282">
        <f t="shared" si="19"/>
        <v>0</v>
      </c>
      <c r="J36" s="282">
        <f t="shared" si="20"/>
        <v>0</v>
      </c>
      <c r="M36" s="408">
        <f t="shared" si="3"/>
        <v>500</v>
      </c>
      <c r="N36" s="410">
        <v>1000</v>
      </c>
      <c r="O36" s="410">
        <v>1500</v>
      </c>
      <c r="P36" s="411">
        <v>0.54</v>
      </c>
      <c r="Q36" s="282">
        <f t="shared" si="21"/>
        <v>0.97200000000000009</v>
      </c>
      <c r="R36" s="273">
        <f t="shared" si="22"/>
        <v>0</v>
      </c>
      <c r="S36" s="273">
        <f t="shared" si="23"/>
        <v>1</v>
      </c>
      <c r="T36" s="273">
        <f t="shared" si="4"/>
        <v>1</v>
      </c>
      <c r="U36" s="282">
        <f t="shared" si="24"/>
        <v>0</v>
      </c>
      <c r="V36" s="282">
        <f t="shared" si="5"/>
        <v>0</v>
      </c>
      <c r="Y36" s="408">
        <f t="shared" si="6"/>
        <v>500</v>
      </c>
      <c r="Z36" s="410">
        <v>1000</v>
      </c>
      <c r="AA36" s="410">
        <v>1500</v>
      </c>
      <c r="AB36" s="411">
        <v>0.54</v>
      </c>
      <c r="AC36" s="282">
        <f t="shared" si="25"/>
        <v>0.97200000000000009</v>
      </c>
      <c r="AD36" s="273">
        <f t="shared" si="26"/>
        <v>0</v>
      </c>
      <c r="AE36" s="273">
        <f t="shared" si="27"/>
        <v>1</v>
      </c>
      <c r="AF36" s="273">
        <f t="shared" si="7"/>
        <v>1</v>
      </c>
      <c r="AG36" s="282">
        <f t="shared" si="28"/>
        <v>0</v>
      </c>
      <c r="AH36" s="282">
        <f t="shared" si="8"/>
        <v>0</v>
      </c>
      <c r="AK36" s="408">
        <f t="shared" si="9"/>
        <v>500</v>
      </c>
      <c r="AL36" s="410">
        <v>1000</v>
      </c>
      <c r="AM36" s="410">
        <v>1500</v>
      </c>
      <c r="AN36" s="411">
        <v>0.54</v>
      </c>
      <c r="AO36" s="282">
        <f t="shared" si="29"/>
        <v>0.97200000000000009</v>
      </c>
      <c r="AP36" s="273">
        <f t="shared" si="30"/>
        <v>0</v>
      </c>
      <c r="AQ36" s="273">
        <f t="shared" si="31"/>
        <v>1</v>
      </c>
      <c r="AR36" s="273">
        <f t="shared" si="10"/>
        <v>1</v>
      </c>
      <c r="AS36" s="282">
        <f t="shared" si="32"/>
        <v>0</v>
      </c>
      <c r="AT36" s="282">
        <f t="shared" si="11"/>
        <v>0</v>
      </c>
      <c r="AW36" s="408">
        <f t="shared" si="12"/>
        <v>500</v>
      </c>
      <c r="AX36" s="410">
        <v>1000</v>
      </c>
      <c r="AY36" s="410">
        <v>1500</v>
      </c>
      <c r="AZ36" s="411">
        <v>0.54</v>
      </c>
      <c r="BA36" s="282">
        <f t="shared" si="33"/>
        <v>0.97200000000000009</v>
      </c>
      <c r="BB36" s="273">
        <f t="shared" si="34"/>
        <v>0</v>
      </c>
      <c r="BC36" s="273">
        <f t="shared" si="35"/>
        <v>1</v>
      </c>
      <c r="BD36" s="273">
        <f t="shared" si="13"/>
        <v>1</v>
      </c>
      <c r="BE36" s="282">
        <f t="shared" si="36"/>
        <v>0</v>
      </c>
      <c r="BF36" s="282">
        <f t="shared" si="14"/>
        <v>0</v>
      </c>
    </row>
    <row r="37" spans="1:58" ht="17.25" customHeight="1">
      <c r="A37" s="408">
        <f t="shared" si="0"/>
        <v>500</v>
      </c>
      <c r="B37" s="410">
        <v>1500</v>
      </c>
      <c r="C37" s="410">
        <v>2000</v>
      </c>
      <c r="D37" s="411">
        <v>0.52</v>
      </c>
      <c r="E37" s="282">
        <f t="shared" si="15"/>
        <v>0.93600000000000005</v>
      </c>
      <c r="F37" s="273">
        <f t="shared" si="16"/>
        <v>0</v>
      </c>
      <c r="G37" s="273">
        <f t="shared" si="17"/>
        <v>1</v>
      </c>
      <c r="H37" s="273">
        <f t="shared" si="18"/>
        <v>1</v>
      </c>
      <c r="I37" s="282">
        <f t="shared" si="19"/>
        <v>0</v>
      </c>
      <c r="J37" s="282">
        <f t="shared" si="20"/>
        <v>0</v>
      </c>
      <c r="M37" s="408">
        <f t="shared" si="3"/>
        <v>500</v>
      </c>
      <c r="N37" s="410">
        <v>1500</v>
      </c>
      <c r="O37" s="410">
        <v>2000</v>
      </c>
      <c r="P37" s="411">
        <v>0.52</v>
      </c>
      <c r="Q37" s="282">
        <f t="shared" si="21"/>
        <v>0.93600000000000005</v>
      </c>
      <c r="R37" s="273">
        <f t="shared" si="22"/>
        <v>0</v>
      </c>
      <c r="S37" s="273">
        <f t="shared" si="23"/>
        <v>1</v>
      </c>
      <c r="T37" s="273">
        <f t="shared" si="4"/>
        <v>1</v>
      </c>
      <c r="U37" s="282">
        <f t="shared" si="24"/>
        <v>0</v>
      </c>
      <c r="V37" s="282">
        <f t="shared" si="5"/>
        <v>0</v>
      </c>
      <c r="Y37" s="408">
        <f t="shared" si="6"/>
        <v>500</v>
      </c>
      <c r="Z37" s="410">
        <v>1500</v>
      </c>
      <c r="AA37" s="410">
        <v>2000</v>
      </c>
      <c r="AB37" s="411">
        <v>0.52</v>
      </c>
      <c r="AC37" s="282">
        <f t="shared" si="25"/>
        <v>0.93600000000000005</v>
      </c>
      <c r="AD37" s="273">
        <f t="shared" si="26"/>
        <v>0</v>
      </c>
      <c r="AE37" s="273">
        <f t="shared" si="27"/>
        <v>1</v>
      </c>
      <c r="AF37" s="273">
        <f t="shared" si="7"/>
        <v>1</v>
      </c>
      <c r="AG37" s="282">
        <f t="shared" si="28"/>
        <v>0</v>
      </c>
      <c r="AH37" s="282">
        <f t="shared" si="8"/>
        <v>0</v>
      </c>
      <c r="AK37" s="408">
        <f t="shared" si="9"/>
        <v>500</v>
      </c>
      <c r="AL37" s="410">
        <v>1500</v>
      </c>
      <c r="AM37" s="410">
        <v>2000</v>
      </c>
      <c r="AN37" s="411">
        <v>0.52</v>
      </c>
      <c r="AO37" s="282">
        <f t="shared" si="29"/>
        <v>0.93600000000000005</v>
      </c>
      <c r="AP37" s="273">
        <f t="shared" si="30"/>
        <v>0</v>
      </c>
      <c r="AQ37" s="273">
        <f t="shared" si="31"/>
        <v>1</v>
      </c>
      <c r="AR37" s="273">
        <f t="shared" si="10"/>
        <v>1</v>
      </c>
      <c r="AS37" s="282">
        <f t="shared" si="32"/>
        <v>0</v>
      </c>
      <c r="AT37" s="282">
        <f t="shared" si="11"/>
        <v>0</v>
      </c>
      <c r="AW37" s="408">
        <f t="shared" si="12"/>
        <v>500</v>
      </c>
      <c r="AX37" s="410">
        <v>1500</v>
      </c>
      <c r="AY37" s="410">
        <v>2000</v>
      </c>
      <c r="AZ37" s="411">
        <v>0.52</v>
      </c>
      <c r="BA37" s="282">
        <f t="shared" si="33"/>
        <v>0.93600000000000005</v>
      </c>
      <c r="BB37" s="273">
        <f t="shared" si="34"/>
        <v>0</v>
      </c>
      <c r="BC37" s="273">
        <f t="shared" si="35"/>
        <v>1</v>
      </c>
      <c r="BD37" s="273">
        <f t="shared" si="13"/>
        <v>1</v>
      </c>
      <c r="BE37" s="282">
        <f t="shared" si="36"/>
        <v>0</v>
      </c>
      <c r="BF37" s="282">
        <f t="shared" si="14"/>
        <v>0</v>
      </c>
    </row>
    <row r="38" spans="1:58" ht="17.25" customHeight="1">
      <c r="A38" s="408">
        <f t="shared" si="0"/>
        <v>500</v>
      </c>
      <c r="B38" s="410">
        <v>2000</v>
      </c>
      <c r="C38" s="410">
        <v>2500</v>
      </c>
      <c r="D38" s="411">
        <v>0.5</v>
      </c>
      <c r="E38" s="282">
        <f t="shared" si="15"/>
        <v>0.9</v>
      </c>
      <c r="F38" s="273">
        <f t="shared" si="16"/>
        <v>0</v>
      </c>
      <c r="G38" s="273">
        <f t="shared" si="17"/>
        <v>1</v>
      </c>
      <c r="H38" s="273">
        <f t="shared" si="18"/>
        <v>1</v>
      </c>
      <c r="I38" s="282">
        <f t="shared" si="19"/>
        <v>0</v>
      </c>
      <c r="J38" s="282">
        <f t="shared" si="20"/>
        <v>0</v>
      </c>
      <c r="M38" s="408">
        <f t="shared" si="3"/>
        <v>500</v>
      </c>
      <c r="N38" s="410">
        <v>2000</v>
      </c>
      <c r="O38" s="410">
        <v>2500</v>
      </c>
      <c r="P38" s="411">
        <v>0.5</v>
      </c>
      <c r="Q38" s="282">
        <f t="shared" si="21"/>
        <v>0.9</v>
      </c>
      <c r="R38" s="273">
        <f t="shared" si="22"/>
        <v>0</v>
      </c>
      <c r="S38" s="273">
        <f t="shared" si="23"/>
        <v>1</v>
      </c>
      <c r="T38" s="273">
        <f t="shared" si="4"/>
        <v>1</v>
      </c>
      <c r="U38" s="282">
        <f t="shared" si="24"/>
        <v>0</v>
      </c>
      <c r="V38" s="282">
        <f t="shared" si="5"/>
        <v>0</v>
      </c>
      <c r="Y38" s="408">
        <f t="shared" si="6"/>
        <v>500</v>
      </c>
      <c r="Z38" s="410">
        <v>2000</v>
      </c>
      <c r="AA38" s="410">
        <v>2500</v>
      </c>
      <c r="AB38" s="411">
        <v>0.5</v>
      </c>
      <c r="AC38" s="282">
        <f t="shared" si="25"/>
        <v>0.9</v>
      </c>
      <c r="AD38" s="273">
        <f t="shared" si="26"/>
        <v>0</v>
      </c>
      <c r="AE38" s="273">
        <f t="shared" si="27"/>
        <v>1</v>
      </c>
      <c r="AF38" s="273">
        <f t="shared" si="7"/>
        <v>1</v>
      </c>
      <c r="AG38" s="282">
        <f t="shared" si="28"/>
        <v>0</v>
      </c>
      <c r="AH38" s="282">
        <f t="shared" si="8"/>
        <v>0</v>
      </c>
      <c r="AK38" s="408">
        <f t="shared" si="9"/>
        <v>500</v>
      </c>
      <c r="AL38" s="410">
        <v>2000</v>
      </c>
      <c r="AM38" s="410">
        <v>2500</v>
      </c>
      <c r="AN38" s="411">
        <v>0.5</v>
      </c>
      <c r="AO38" s="282">
        <f t="shared" si="29"/>
        <v>0.9</v>
      </c>
      <c r="AP38" s="273">
        <f t="shared" si="30"/>
        <v>0</v>
      </c>
      <c r="AQ38" s="273">
        <f t="shared" si="31"/>
        <v>1</v>
      </c>
      <c r="AR38" s="273">
        <f t="shared" si="10"/>
        <v>1</v>
      </c>
      <c r="AS38" s="282">
        <f t="shared" si="32"/>
        <v>0</v>
      </c>
      <c r="AT38" s="282">
        <f t="shared" si="11"/>
        <v>0</v>
      </c>
      <c r="AW38" s="408">
        <f t="shared" si="12"/>
        <v>500</v>
      </c>
      <c r="AX38" s="410">
        <v>2000</v>
      </c>
      <c r="AY38" s="410">
        <v>2500</v>
      </c>
      <c r="AZ38" s="411">
        <v>0.5</v>
      </c>
      <c r="BA38" s="282">
        <f t="shared" si="33"/>
        <v>0.9</v>
      </c>
      <c r="BB38" s="273">
        <f t="shared" si="34"/>
        <v>0</v>
      </c>
      <c r="BC38" s="273">
        <f t="shared" si="35"/>
        <v>1</v>
      </c>
      <c r="BD38" s="273">
        <f t="shared" si="13"/>
        <v>1</v>
      </c>
      <c r="BE38" s="282">
        <f t="shared" si="36"/>
        <v>0</v>
      </c>
      <c r="BF38" s="282">
        <f t="shared" si="14"/>
        <v>0</v>
      </c>
    </row>
    <row r="39" spans="1:58" ht="17.25" customHeight="1">
      <c r="A39" s="408">
        <f t="shared" si="0"/>
        <v>500</v>
      </c>
      <c r="B39" s="410">
        <v>2500</v>
      </c>
      <c r="C39" s="410">
        <v>3000</v>
      </c>
      <c r="D39" s="411">
        <v>0.48</v>
      </c>
      <c r="E39" s="282">
        <f t="shared" si="15"/>
        <v>0.86399999999999999</v>
      </c>
      <c r="F39" s="273">
        <f t="shared" si="16"/>
        <v>0</v>
      </c>
      <c r="G39" s="273">
        <f t="shared" si="17"/>
        <v>1</v>
      </c>
      <c r="H39" s="273">
        <f t="shared" si="18"/>
        <v>1</v>
      </c>
      <c r="I39" s="282">
        <f t="shared" si="19"/>
        <v>0</v>
      </c>
      <c r="J39" s="282">
        <f t="shared" si="20"/>
        <v>0</v>
      </c>
      <c r="M39" s="408">
        <f t="shared" si="3"/>
        <v>500</v>
      </c>
      <c r="N39" s="410">
        <v>2500</v>
      </c>
      <c r="O39" s="410">
        <v>3000</v>
      </c>
      <c r="P39" s="411">
        <v>0.48</v>
      </c>
      <c r="Q39" s="282">
        <f t="shared" si="21"/>
        <v>0.86399999999999999</v>
      </c>
      <c r="R39" s="273">
        <f t="shared" si="22"/>
        <v>0</v>
      </c>
      <c r="S39" s="273">
        <f t="shared" si="23"/>
        <v>1</v>
      </c>
      <c r="T39" s="273">
        <f t="shared" si="4"/>
        <v>1</v>
      </c>
      <c r="U39" s="282">
        <f t="shared" si="24"/>
        <v>0</v>
      </c>
      <c r="V39" s="282">
        <f t="shared" si="5"/>
        <v>0</v>
      </c>
      <c r="Y39" s="408">
        <f t="shared" si="6"/>
        <v>500</v>
      </c>
      <c r="Z39" s="410">
        <v>2500</v>
      </c>
      <c r="AA39" s="410">
        <v>3000</v>
      </c>
      <c r="AB39" s="411">
        <v>0.48</v>
      </c>
      <c r="AC39" s="282">
        <f t="shared" si="25"/>
        <v>0.86399999999999999</v>
      </c>
      <c r="AD39" s="273">
        <f t="shared" si="26"/>
        <v>0</v>
      </c>
      <c r="AE39" s="273">
        <f t="shared" si="27"/>
        <v>1</v>
      </c>
      <c r="AF39" s="273">
        <f t="shared" si="7"/>
        <v>1</v>
      </c>
      <c r="AG39" s="282">
        <f t="shared" si="28"/>
        <v>0</v>
      </c>
      <c r="AH39" s="282">
        <f t="shared" si="8"/>
        <v>0</v>
      </c>
      <c r="AK39" s="408">
        <f t="shared" si="9"/>
        <v>500</v>
      </c>
      <c r="AL39" s="410">
        <v>2500</v>
      </c>
      <c r="AM39" s="410">
        <v>3000</v>
      </c>
      <c r="AN39" s="411">
        <v>0.48</v>
      </c>
      <c r="AO39" s="282">
        <f t="shared" si="29"/>
        <v>0.86399999999999999</v>
      </c>
      <c r="AP39" s="273">
        <f t="shared" si="30"/>
        <v>0</v>
      </c>
      <c r="AQ39" s="273">
        <f t="shared" si="31"/>
        <v>1</v>
      </c>
      <c r="AR39" s="273">
        <f t="shared" si="10"/>
        <v>1</v>
      </c>
      <c r="AS39" s="282">
        <f t="shared" si="32"/>
        <v>0</v>
      </c>
      <c r="AT39" s="282">
        <f t="shared" si="11"/>
        <v>0</v>
      </c>
      <c r="AW39" s="408">
        <f t="shared" si="12"/>
        <v>500</v>
      </c>
      <c r="AX39" s="410">
        <v>2500</v>
      </c>
      <c r="AY39" s="410">
        <v>3000</v>
      </c>
      <c r="AZ39" s="411">
        <v>0.48</v>
      </c>
      <c r="BA39" s="282">
        <f t="shared" si="33"/>
        <v>0.86399999999999999</v>
      </c>
      <c r="BB39" s="273">
        <f t="shared" si="34"/>
        <v>0</v>
      </c>
      <c r="BC39" s="273">
        <f t="shared" si="35"/>
        <v>1</v>
      </c>
      <c r="BD39" s="273">
        <f t="shared" si="13"/>
        <v>1</v>
      </c>
      <c r="BE39" s="282">
        <f t="shared" si="36"/>
        <v>0</v>
      </c>
      <c r="BF39" s="282">
        <f t="shared" si="14"/>
        <v>0</v>
      </c>
    </row>
    <row r="40" spans="1:58" ht="17.25" customHeight="1">
      <c r="A40" s="408">
        <f t="shared" si="0"/>
        <v>500</v>
      </c>
      <c r="B40" s="410">
        <v>3000</v>
      </c>
      <c r="C40" s="410">
        <v>4000</v>
      </c>
      <c r="D40" s="411">
        <v>0.47</v>
      </c>
      <c r="E40" s="282">
        <f t="shared" si="15"/>
        <v>0.84599999999999997</v>
      </c>
      <c r="F40" s="273">
        <f t="shared" si="16"/>
        <v>0</v>
      </c>
      <c r="G40" s="273">
        <f t="shared" si="17"/>
        <v>1</v>
      </c>
      <c r="H40" s="273">
        <f t="shared" si="18"/>
        <v>1</v>
      </c>
      <c r="I40" s="282">
        <f t="shared" si="19"/>
        <v>0</v>
      </c>
      <c r="J40" s="282">
        <f t="shared" si="20"/>
        <v>0</v>
      </c>
      <c r="M40" s="408">
        <f t="shared" si="3"/>
        <v>500</v>
      </c>
      <c r="N40" s="410">
        <v>3000</v>
      </c>
      <c r="O40" s="410">
        <v>4000</v>
      </c>
      <c r="P40" s="411">
        <v>0.47</v>
      </c>
      <c r="Q40" s="282">
        <f t="shared" si="21"/>
        <v>0.84599999999999997</v>
      </c>
      <c r="R40" s="273">
        <f t="shared" si="22"/>
        <v>0</v>
      </c>
      <c r="S40" s="273">
        <f t="shared" si="23"/>
        <v>1</v>
      </c>
      <c r="T40" s="273">
        <f t="shared" si="4"/>
        <v>1</v>
      </c>
      <c r="U40" s="282">
        <f t="shared" si="24"/>
        <v>0</v>
      </c>
      <c r="V40" s="282">
        <f t="shared" si="5"/>
        <v>0</v>
      </c>
      <c r="Y40" s="408">
        <f t="shared" si="6"/>
        <v>500</v>
      </c>
      <c r="Z40" s="410">
        <v>3000</v>
      </c>
      <c r="AA40" s="410">
        <v>4000</v>
      </c>
      <c r="AB40" s="411">
        <v>0.47</v>
      </c>
      <c r="AC40" s="282">
        <f t="shared" si="25"/>
        <v>0.84599999999999997</v>
      </c>
      <c r="AD40" s="273">
        <f t="shared" si="26"/>
        <v>0</v>
      </c>
      <c r="AE40" s="273">
        <f t="shared" si="27"/>
        <v>1</v>
      </c>
      <c r="AF40" s="273">
        <f t="shared" si="7"/>
        <v>1</v>
      </c>
      <c r="AG40" s="282">
        <f t="shared" si="28"/>
        <v>0</v>
      </c>
      <c r="AH40" s="282">
        <f t="shared" si="8"/>
        <v>0</v>
      </c>
      <c r="AK40" s="408">
        <f t="shared" si="9"/>
        <v>500</v>
      </c>
      <c r="AL40" s="410">
        <v>3000</v>
      </c>
      <c r="AM40" s="410">
        <v>4000</v>
      </c>
      <c r="AN40" s="411">
        <v>0.47</v>
      </c>
      <c r="AO40" s="282">
        <f t="shared" si="29"/>
        <v>0.84599999999999997</v>
      </c>
      <c r="AP40" s="273">
        <f t="shared" si="30"/>
        <v>0</v>
      </c>
      <c r="AQ40" s="273">
        <f t="shared" si="31"/>
        <v>1</v>
      </c>
      <c r="AR40" s="273">
        <f t="shared" si="10"/>
        <v>1</v>
      </c>
      <c r="AS40" s="282">
        <f t="shared" si="32"/>
        <v>0</v>
      </c>
      <c r="AT40" s="282">
        <f t="shared" si="11"/>
        <v>0</v>
      </c>
      <c r="AW40" s="408">
        <f t="shared" si="12"/>
        <v>500</v>
      </c>
      <c r="AX40" s="410">
        <v>3000</v>
      </c>
      <c r="AY40" s="410">
        <v>4000</v>
      </c>
      <c r="AZ40" s="411">
        <v>0.47</v>
      </c>
      <c r="BA40" s="282">
        <f t="shared" si="33"/>
        <v>0.84599999999999997</v>
      </c>
      <c r="BB40" s="273">
        <f t="shared" si="34"/>
        <v>0</v>
      </c>
      <c r="BC40" s="273">
        <f t="shared" si="35"/>
        <v>1</v>
      </c>
      <c r="BD40" s="273">
        <f t="shared" si="13"/>
        <v>1</v>
      </c>
      <c r="BE40" s="282">
        <f t="shared" si="36"/>
        <v>0</v>
      </c>
      <c r="BF40" s="282">
        <f t="shared" si="14"/>
        <v>0</v>
      </c>
    </row>
    <row r="41" spans="1:58" ht="17.25" customHeight="1">
      <c r="A41" s="408">
        <f t="shared" si="0"/>
        <v>500</v>
      </c>
      <c r="B41" s="410">
        <v>4000</v>
      </c>
      <c r="C41" s="410">
        <v>5000</v>
      </c>
      <c r="D41" s="411">
        <v>0.45</v>
      </c>
      <c r="E41" s="282">
        <f t="shared" si="15"/>
        <v>0.81</v>
      </c>
      <c r="F41" s="273">
        <f t="shared" si="16"/>
        <v>0</v>
      </c>
      <c r="G41" s="273">
        <f t="shared" si="17"/>
        <v>1</v>
      </c>
      <c r="H41" s="273">
        <f t="shared" si="18"/>
        <v>1</v>
      </c>
      <c r="I41" s="282">
        <f t="shared" si="19"/>
        <v>0</v>
      </c>
      <c r="J41" s="282">
        <f t="shared" si="20"/>
        <v>0</v>
      </c>
      <c r="M41" s="408">
        <f t="shared" si="3"/>
        <v>500</v>
      </c>
      <c r="N41" s="410">
        <v>4000</v>
      </c>
      <c r="O41" s="410">
        <v>5000</v>
      </c>
      <c r="P41" s="411">
        <v>0.45</v>
      </c>
      <c r="Q41" s="282">
        <f t="shared" si="21"/>
        <v>0.81</v>
      </c>
      <c r="R41" s="273">
        <f t="shared" si="22"/>
        <v>0</v>
      </c>
      <c r="S41" s="273">
        <f t="shared" si="23"/>
        <v>1</v>
      </c>
      <c r="T41" s="273">
        <f t="shared" si="4"/>
        <v>1</v>
      </c>
      <c r="U41" s="282">
        <f t="shared" si="24"/>
        <v>0</v>
      </c>
      <c r="V41" s="282">
        <f t="shared" si="5"/>
        <v>0</v>
      </c>
      <c r="Y41" s="408">
        <f t="shared" si="6"/>
        <v>500</v>
      </c>
      <c r="Z41" s="410">
        <v>4000</v>
      </c>
      <c r="AA41" s="410">
        <v>5000</v>
      </c>
      <c r="AB41" s="411">
        <v>0.45</v>
      </c>
      <c r="AC41" s="282">
        <f t="shared" si="25"/>
        <v>0.81</v>
      </c>
      <c r="AD41" s="273">
        <f t="shared" si="26"/>
        <v>0</v>
      </c>
      <c r="AE41" s="273">
        <f t="shared" si="27"/>
        <v>1</v>
      </c>
      <c r="AF41" s="273">
        <f t="shared" si="7"/>
        <v>1</v>
      </c>
      <c r="AG41" s="282">
        <f t="shared" si="28"/>
        <v>0</v>
      </c>
      <c r="AH41" s="282">
        <f t="shared" si="8"/>
        <v>0</v>
      </c>
      <c r="AK41" s="408">
        <f t="shared" si="9"/>
        <v>500</v>
      </c>
      <c r="AL41" s="410">
        <v>4000</v>
      </c>
      <c r="AM41" s="410">
        <v>5000</v>
      </c>
      <c r="AN41" s="411">
        <v>0.45</v>
      </c>
      <c r="AO41" s="282">
        <f t="shared" si="29"/>
        <v>0.81</v>
      </c>
      <c r="AP41" s="273">
        <f t="shared" si="30"/>
        <v>0</v>
      </c>
      <c r="AQ41" s="273">
        <f t="shared" si="31"/>
        <v>1</v>
      </c>
      <c r="AR41" s="273">
        <f t="shared" si="10"/>
        <v>1</v>
      </c>
      <c r="AS41" s="282">
        <f t="shared" si="32"/>
        <v>0</v>
      </c>
      <c r="AT41" s="282">
        <f t="shared" si="11"/>
        <v>0</v>
      </c>
      <c r="AW41" s="408">
        <f t="shared" si="12"/>
        <v>500</v>
      </c>
      <c r="AX41" s="410">
        <v>4000</v>
      </c>
      <c r="AY41" s="410">
        <v>5000</v>
      </c>
      <c r="AZ41" s="411">
        <v>0.45</v>
      </c>
      <c r="BA41" s="282">
        <f t="shared" si="33"/>
        <v>0.81</v>
      </c>
      <c r="BB41" s="273">
        <f t="shared" si="34"/>
        <v>0</v>
      </c>
      <c r="BC41" s="273">
        <f t="shared" si="35"/>
        <v>1</v>
      </c>
      <c r="BD41" s="273">
        <f t="shared" si="13"/>
        <v>1</v>
      </c>
      <c r="BE41" s="282">
        <f t="shared" si="36"/>
        <v>0</v>
      </c>
      <c r="BF41" s="282">
        <f t="shared" si="14"/>
        <v>0</v>
      </c>
    </row>
    <row r="42" spans="1:58" ht="17.25" customHeight="1">
      <c r="A42" s="408">
        <f t="shared" si="0"/>
        <v>500</v>
      </c>
      <c r="B42" s="410">
        <v>5000</v>
      </c>
      <c r="C42" s="410">
        <v>100000</v>
      </c>
      <c r="D42" s="411">
        <v>0.44</v>
      </c>
      <c r="E42" s="282">
        <f t="shared" si="15"/>
        <v>0.79200000000000004</v>
      </c>
      <c r="F42" s="273">
        <f t="shared" si="16"/>
        <v>0</v>
      </c>
      <c r="G42" s="273">
        <f t="shared" si="17"/>
        <v>1</v>
      </c>
      <c r="H42" s="273">
        <f t="shared" si="18"/>
        <v>1</v>
      </c>
      <c r="I42" s="282">
        <f t="shared" si="19"/>
        <v>0</v>
      </c>
      <c r="J42" s="282">
        <f t="shared" si="20"/>
        <v>0</v>
      </c>
      <c r="M42" s="408">
        <f t="shared" si="3"/>
        <v>500</v>
      </c>
      <c r="N42" s="410">
        <v>5000</v>
      </c>
      <c r="O42" s="410">
        <v>100000</v>
      </c>
      <c r="P42" s="411">
        <v>0.44</v>
      </c>
      <c r="Q42" s="282">
        <f t="shared" si="21"/>
        <v>0.79200000000000004</v>
      </c>
      <c r="R42" s="273">
        <f t="shared" si="22"/>
        <v>0</v>
      </c>
      <c r="S42" s="273">
        <f t="shared" si="23"/>
        <v>1</v>
      </c>
      <c r="T42" s="273">
        <f t="shared" si="4"/>
        <v>1</v>
      </c>
      <c r="U42" s="282">
        <f t="shared" si="24"/>
        <v>0</v>
      </c>
      <c r="V42" s="282">
        <f t="shared" si="5"/>
        <v>0</v>
      </c>
      <c r="Y42" s="408">
        <f t="shared" si="6"/>
        <v>500</v>
      </c>
      <c r="Z42" s="410">
        <v>5000</v>
      </c>
      <c r="AA42" s="410">
        <v>100000</v>
      </c>
      <c r="AB42" s="411">
        <v>0.44</v>
      </c>
      <c r="AC42" s="282">
        <f t="shared" si="25"/>
        <v>0.79200000000000004</v>
      </c>
      <c r="AD42" s="273">
        <f t="shared" si="26"/>
        <v>0</v>
      </c>
      <c r="AE42" s="273">
        <f t="shared" si="27"/>
        <v>1</v>
      </c>
      <c r="AF42" s="273">
        <f t="shared" si="7"/>
        <v>1</v>
      </c>
      <c r="AG42" s="282">
        <f t="shared" si="28"/>
        <v>0</v>
      </c>
      <c r="AH42" s="282">
        <f t="shared" si="8"/>
        <v>0</v>
      </c>
      <c r="AK42" s="408">
        <f t="shared" si="9"/>
        <v>500</v>
      </c>
      <c r="AL42" s="410">
        <v>5000</v>
      </c>
      <c r="AM42" s="410">
        <v>100000</v>
      </c>
      <c r="AN42" s="411">
        <v>0.44</v>
      </c>
      <c r="AO42" s="282">
        <f t="shared" si="29"/>
        <v>0.79200000000000004</v>
      </c>
      <c r="AP42" s="273">
        <f t="shared" si="30"/>
        <v>0</v>
      </c>
      <c r="AQ42" s="273">
        <f t="shared" si="31"/>
        <v>1</v>
      </c>
      <c r="AR42" s="273">
        <f t="shared" si="10"/>
        <v>1</v>
      </c>
      <c r="AS42" s="282">
        <f t="shared" si="32"/>
        <v>0</v>
      </c>
      <c r="AT42" s="282">
        <f t="shared" si="11"/>
        <v>0</v>
      </c>
      <c r="AW42" s="408">
        <f t="shared" si="12"/>
        <v>500</v>
      </c>
      <c r="AX42" s="410">
        <v>5000</v>
      </c>
      <c r="AY42" s="410">
        <v>100000</v>
      </c>
      <c r="AZ42" s="411">
        <v>0.44</v>
      </c>
      <c r="BA42" s="282">
        <f t="shared" si="33"/>
        <v>0.79200000000000004</v>
      </c>
      <c r="BB42" s="273">
        <f t="shared" si="34"/>
        <v>0</v>
      </c>
      <c r="BC42" s="273">
        <f t="shared" si="35"/>
        <v>1</v>
      </c>
      <c r="BD42" s="273">
        <f t="shared" si="13"/>
        <v>1</v>
      </c>
      <c r="BE42" s="282">
        <f t="shared" si="36"/>
        <v>0</v>
      </c>
      <c r="BF42" s="282">
        <f t="shared" si="14"/>
        <v>0</v>
      </c>
    </row>
  </sheetData>
  <sheetProtection selectLockedCells="1"/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G10"/>
  <sheetViews>
    <sheetView workbookViewId="0">
      <selection activeCell="AY8" sqref="AY8:BA10"/>
    </sheetView>
  </sheetViews>
  <sheetFormatPr baseColWidth="10" defaultRowHeight="17.25" customHeight="1"/>
  <cols>
    <col min="1" max="1" width="25.7109375" customWidth="1"/>
    <col min="2" max="5" width="8.7109375" customWidth="1"/>
    <col min="6" max="9" width="0" hidden="1" customWidth="1"/>
    <col min="10" max="11" width="11.42578125" hidden="1" customWidth="1"/>
    <col min="12" max="12" width="6.140625" customWidth="1"/>
    <col min="13" max="13" width="25.7109375" customWidth="1"/>
    <col min="14" max="17" width="8.7109375" customWidth="1"/>
    <col min="18" max="21" width="0" hidden="1" customWidth="1"/>
    <col min="22" max="23" width="11.42578125" hidden="1" customWidth="1"/>
    <col min="24" max="24" width="6.140625" customWidth="1"/>
    <col min="25" max="25" width="25.7109375" customWidth="1"/>
    <col min="26" max="29" width="8.7109375" customWidth="1"/>
    <col min="30" max="33" width="0" hidden="1" customWidth="1"/>
    <col min="34" max="35" width="11.42578125" hidden="1" customWidth="1"/>
    <col min="36" max="36" width="6.140625" customWidth="1"/>
    <col min="37" max="37" width="25.7109375" customWidth="1"/>
    <col min="38" max="41" width="8.7109375" customWidth="1"/>
    <col min="42" max="45" width="0" hidden="1" customWidth="1"/>
    <col min="46" max="47" width="11.42578125" hidden="1" customWidth="1"/>
    <col min="48" max="48" width="6.140625" customWidth="1"/>
    <col min="49" max="49" width="25.7109375" customWidth="1"/>
    <col min="50" max="53" width="8.7109375" customWidth="1"/>
    <col min="54" max="57" width="0" hidden="1" customWidth="1"/>
    <col min="58" max="59" width="11.42578125" hidden="1" customWidth="1"/>
    <col min="60" max="60" width="6.140625" customWidth="1"/>
  </cols>
  <sheetData>
    <row r="1" spans="1:53" ht="17.25" customHeight="1">
      <c r="A1" s="204" t="s">
        <v>197</v>
      </c>
      <c r="M1" s="204" t="s">
        <v>198</v>
      </c>
      <c r="Y1" s="204" t="s">
        <v>199</v>
      </c>
      <c r="AK1" s="204" t="s">
        <v>200</v>
      </c>
      <c r="AW1" s="204" t="s">
        <v>201</v>
      </c>
    </row>
    <row r="3" spans="1:53" ht="17.25" customHeight="1">
      <c r="A3" s="152" t="s">
        <v>11</v>
      </c>
      <c r="B3" s="59">
        <f>kalkulation!C2</f>
        <v>250</v>
      </c>
      <c r="C3" s="160"/>
      <c r="D3" s="160"/>
      <c r="E3" s="160"/>
      <c r="M3" s="152" t="s">
        <v>11</v>
      </c>
      <c r="N3" s="59">
        <f>kalkulation!O2</f>
        <v>250</v>
      </c>
      <c r="O3" s="160"/>
      <c r="P3" s="160"/>
      <c r="Q3" s="160"/>
      <c r="Y3" s="152" t="s">
        <v>11</v>
      </c>
      <c r="Z3" s="59">
        <f>kalkulation!AA2</f>
        <v>250</v>
      </c>
      <c r="AA3" s="160"/>
      <c r="AB3" s="160"/>
      <c r="AC3" s="160"/>
      <c r="AK3" s="152" t="s">
        <v>11</v>
      </c>
      <c r="AL3" s="59">
        <f>kalkulation!AM2</f>
        <v>250</v>
      </c>
      <c r="AM3" s="160"/>
      <c r="AN3" s="160"/>
      <c r="AO3" s="160"/>
      <c r="AW3" s="152" t="s">
        <v>11</v>
      </c>
      <c r="AX3" s="59">
        <f>kalkulation!AY2</f>
        <v>250</v>
      </c>
      <c r="AY3" s="160"/>
      <c r="AZ3" s="160"/>
      <c r="BA3" s="160"/>
    </row>
    <row r="4" spans="1:53" ht="17.25" customHeight="1">
      <c r="A4" s="152" t="s">
        <v>9</v>
      </c>
      <c r="B4" s="59">
        <f>kalkulation!C3</f>
        <v>175</v>
      </c>
      <c r="C4" s="160"/>
      <c r="D4" s="160"/>
      <c r="E4" s="160"/>
      <c r="M4" s="152" t="s">
        <v>9</v>
      </c>
      <c r="N4" s="59">
        <f>kalkulation!O3</f>
        <v>175</v>
      </c>
      <c r="O4" s="160"/>
      <c r="P4" s="160"/>
      <c r="Q4" s="160"/>
      <c r="Y4" s="152" t="s">
        <v>9</v>
      </c>
      <c r="Z4" s="59">
        <f>kalkulation!AA3</f>
        <v>175</v>
      </c>
      <c r="AA4" s="160"/>
      <c r="AB4" s="160"/>
      <c r="AC4" s="160"/>
      <c r="AK4" s="152" t="s">
        <v>9</v>
      </c>
      <c r="AL4" s="59">
        <f>kalkulation!AM3</f>
        <v>175</v>
      </c>
      <c r="AM4" s="160"/>
      <c r="AN4" s="160"/>
      <c r="AO4" s="160"/>
      <c r="AW4" s="152" t="s">
        <v>9</v>
      </c>
      <c r="AX4" s="59">
        <f>kalkulation!AY3</f>
        <v>175</v>
      </c>
      <c r="AY4" s="160"/>
      <c r="AZ4" s="160"/>
      <c r="BA4" s="160"/>
    </row>
    <row r="5" spans="1:53" ht="17.25" customHeight="1">
      <c r="A5" s="152" t="s">
        <v>112</v>
      </c>
      <c r="B5" s="59">
        <f>kalkulation!C4</f>
        <v>5</v>
      </c>
      <c r="C5" s="160"/>
      <c r="D5" s="160"/>
      <c r="E5" s="160"/>
      <c r="M5" s="152" t="s">
        <v>112</v>
      </c>
      <c r="N5" s="59">
        <f>kalkulation!O4</f>
        <v>5</v>
      </c>
      <c r="O5" s="160"/>
      <c r="P5" s="160"/>
      <c r="Q5" s="160"/>
      <c r="Y5" s="152" t="s">
        <v>112</v>
      </c>
      <c r="Z5" s="59">
        <f>kalkulation!AA4</f>
        <v>5</v>
      </c>
      <c r="AA5" s="160"/>
      <c r="AB5" s="160"/>
      <c r="AC5" s="160"/>
      <c r="AK5" s="152" t="s">
        <v>112</v>
      </c>
      <c r="AL5" s="59">
        <f>kalkulation!AM4</f>
        <v>5</v>
      </c>
      <c r="AM5" s="160"/>
      <c r="AN5" s="160"/>
      <c r="AO5" s="160"/>
      <c r="AW5" s="152" t="s">
        <v>112</v>
      </c>
      <c r="AX5" s="59">
        <f>kalkulation!AY4</f>
        <v>5</v>
      </c>
      <c r="AY5" s="160"/>
      <c r="AZ5" s="160"/>
      <c r="BA5" s="160"/>
    </row>
    <row r="6" spans="1:53" ht="17.25" customHeight="1">
      <c r="A6" s="152" t="s">
        <v>113</v>
      </c>
      <c r="B6" s="59">
        <f>kalkulation!C5</f>
        <v>500</v>
      </c>
      <c r="C6" s="160"/>
      <c r="D6" s="160"/>
      <c r="E6" s="160"/>
      <c r="M6" s="152" t="s">
        <v>113</v>
      </c>
      <c r="N6" s="59">
        <f>kalkulation!O5</f>
        <v>500</v>
      </c>
      <c r="O6" s="160"/>
      <c r="P6" s="160"/>
      <c r="Q6" s="160"/>
      <c r="Y6" s="152" t="s">
        <v>113</v>
      </c>
      <c r="Z6" s="59">
        <f>kalkulation!AA5</f>
        <v>500</v>
      </c>
      <c r="AA6" s="160"/>
      <c r="AB6" s="160"/>
      <c r="AC6" s="160"/>
      <c r="AK6" s="152" t="s">
        <v>113</v>
      </c>
      <c r="AL6" s="59">
        <f>kalkulation!AM5</f>
        <v>500</v>
      </c>
      <c r="AM6" s="160"/>
      <c r="AN6" s="160"/>
      <c r="AO6" s="160"/>
      <c r="AW6" s="152" t="s">
        <v>113</v>
      </c>
      <c r="AX6" s="59">
        <f>kalkulation!AY5</f>
        <v>500</v>
      </c>
      <c r="AY6" s="160"/>
      <c r="AZ6" s="160"/>
      <c r="BA6" s="160"/>
    </row>
    <row r="7" spans="1:53" ht="17.25" customHeight="1">
      <c r="A7" s="152"/>
      <c r="B7" s="60"/>
      <c r="C7" s="169" t="s">
        <v>142</v>
      </c>
      <c r="D7" s="169" t="s">
        <v>143</v>
      </c>
      <c r="E7" s="169" t="s">
        <v>144</v>
      </c>
      <c r="M7" s="152"/>
      <c r="N7" s="60"/>
      <c r="O7" s="169" t="s">
        <v>142</v>
      </c>
      <c r="P7" s="169" t="s">
        <v>143</v>
      </c>
      <c r="Q7" s="169" t="s">
        <v>144</v>
      </c>
      <c r="Y7" s="152"/>
      <c r="Z7" s="60"/>
      <c r="AA7" s="169" t="s">
        <v>142</v>
      </c>
      <c r="AB7" s="169" t="s">
        <v>143</v>
      </c>
      <c r="AC7" s="169" t="s">
        <v>144</v>
      </c>
      <c r="AK7" s="152"/>
      <c r="AL7" s="60"/>
      <c r="AM7" s="169" t="s">
        <v>142</v>
      </c>
      <c r="AN7" s="169" t="s">
        <v>143</v>
      </c>
      <c r="AO7" s="169" t="s">
        <v>144</v>
      </c>
      <c r="AW7" s="152"/>
      <c r="AX7" s="60"/>
      <c r="AY7" s="169" t="s">
        <v>142</v>
      </c>
      <c r="AZ7" s="169" t="s">
        <v>143</v>
      </c>
      <c r="BA7" s="169" t="s">
        <v>144</v>
      </c>
    </row>
    <row r="8" spans="1:53" ht="17.25" customHeight="1">
      <c r="A8" s="152" t="s">
        <v>157</v>
      </c>
      <c r="B8" s="160"/>
      <c r="C8" s="165">
        <v>0.1</v>
      </c>
      <c r="D8" s="165">
        <v>0.15</v>
      </c>
      <c r="E8" s="165">
        <v>0.2</v>
      </c>
      <c r="M8" s="152" t="s">
        <v>157</v>
      </c>
      <c r="N8" s="160"/>
      <c r="O8" s="165">
        <v>0.1</v>
      </c>
      <c r="P8" s="165">
        <v>0.15</v>
      </c>
      <c r="Q8" s="165">
        <v>0.2</v>
      </c>
      <c r="Y8" s="152" t="s">
        <v>157</v>
      </c>
      <c r="Z8" s="160"/>
      <c r="AA8" s="165">
        <v>0.1</v>
      </c>
      <c r="AB8" s="165">
        <v>0.15</v>
      </c>
      <c r="AC8" s="165">
        <v>0.2</v>
      </c>
      <c r="AK8" s="152" t="s">
        <v>157</v>
      </c>
      <c r="AL8" s="160"/>
      <c r="AM8" s="165">
        <v>0.1</v>
      </c>
      <c r="AN8" s="165">
        <v>0.15</v>
      </c>
      <c r="AO8" s="165">
        <v>0.2</v>
      </c>
      <c r="AW8" s="152" t="s">
        <v>157</v>
      </c>
      <c r="AX8" s="160"/>
      <c r="AY8" s="165">
        <v>0.1</v>
      </c>
      <c r="AZ8" s="165">
        <v>0.15</v>
      </c>
      <c r="BA8" s="165">
        <v>0.2</v>
      </c>
    </row>
    <row r="9" spans="1:53" ht="17.25" customHeight="1">
      <c r="A9" s="152" t="s">
        <v>158</v>
      </c>
      <c r="B9" s="160"/>
      <c r="C9" s="165">
        <f>$B5-2</f>
        <v>3</v>
      </c>
      <c r="D9" s="165">
        <f>$B5-2</f>
        <v>3</v>
      </c>
      <c r="E9" s="165">
        <f>$B5-2</f>
        <v>3</v>
      </c>
      <c r="M9" s="152" t="s">
        <v>158</v>
      </c>
      <c r="N9" s="160"/>
      <c r="O9" s="165">
        <f>$B5-2</f>
        <v>3</v>
      </c>
      <c r="P9" s="165">
        <f>$B5-2</f>
        <v>3</v>
      </c>
      <c r="Q9" s="165">
        <f>$B5-2</f>
        <v>3</v>
      </c>
      <c r="Y9" s="152" t="s">
        <v>158</v>
      </c>
      <c r="Z9" s="160"/>
      <c r="AA9" s="165">
        <f>$B5-2</f>
        <v>3</v>
      </c>
      <c r="AB9" s="165">
        <f>$B5-2</f>
        <v>3</v>
      </c>
      <c r="AC9" s="165">
        <f>$B5-2</f>
        <v>3</v>
      </c>
      <c r="AK9" s="152" t="s">
        <v>158</v>
      </c>
      <c r="AL9" s="160"/>
      <c r="AM9" s="165">
        <f>$B5-2</f>
        <v>3</v>
      </c>
      <c r="AN9" s="165">
        <f>$B5-2</f>
        <v>3</v>
      </c>
      <c r="AO9" s="165">
        <f>$B5-2</f>
        <v>3</v>
      </c>
      <c r="AW9" s="152" t="s">
        <v>158</v>
      </c>
      <c r="AX9" s="160"/>
      <c r="AY9" s="165">
        <f>$B5-2</f>
        <v>3</v>
      </c>
      <c r="AZ9" s="165">
        <f>$B5-2</f>
        <v>3</v>
      </c>
      <c r="BA9" s="165">
        <f>$B5-2</f>
        <v>3</v>
      </c>
    </row>
    <row r="10" spans="1:53" s="204" customFormat="1" ht="17.25" customHeight="1">
      <c r="A10" s="153" t="s">
        <v>159</v>
      </c>
      <c r="B10" s="164"/>
      <c r="C10" s="161">
        <f>C8*C9</f>
        <v>0.30000000000000004</v>
      </c>
      <c r="D10" s="161">
        <f>D8*D9</f>
        <v>0.44999999999999996</v>
      </c>
      <c r="E10" s="161">
        <f>E8*E9</f>
        <v>0.60000000000000009</v>
      </c>
      <c r="M10" s="153" t="s">
        <v>159</v>
      </c>
      <c r="N10" s="164"/>
      <c r="O10" s="161">
        <f>O8*O9</f>
        <v>0.30000000000000004</v>
      </c>
      <c r="P10" s="161">
        <f>P8*P9</f>
        <v>0.44999999999999996</v>
      </c>
      <c r="Q10" s="161">
        <f>Q8*Q9</f>
        <v>0.60000000000000009</v>
      </c>
      <c r="Y10" s="153" t="s">
        <v>159</v>
      </c>
      <c r="Z10" s="164"/>
      <c r="AA10" s="161">
        <f>AA8*AA9</f>
        <v>0.30000000000000004</v>
      </c>
      <c r="AB10" s="161">
        <f>AB8*AB9</f>
        <v>0.44999999999999996</v>
      </c>
      <c r="AC10" s="161">
        <f>AC8*AC9</f>
        <v>0.60000000000000009</v>
      </c>
      <c r="AK10" s="153" t="s">
        <v>159</v>
      </c>
      <c r="AL10" s="164"/>
      <c r="AM10" s="161">
        <f>AM8*AM9</f>
        <v>0.30000000000000004</v>
      </c>
      <c r="AN10" s="161">
        <f>AN8*AN9</f>
        <v>0.44999999999999996</v>
      </c>
      <c r="AO10" s="161">
        <f>AO8*AO9</f>
        <v>0.60000000000000009</v>
      </c>
      <c r="AW10" s="153" t="s">
        <v>159</v>
      </c>
      <c r="AX10" s="164"/>
      <c r="AY10" s="161">
        <f>AY8*AY9</f>
        <v>0.30000000000000004</v>
      </c>
      <c r="AZ10" s="161">
        <f>AZ8*AZ9</f>
        <v>0.44999999999999996</v>
      </c>
      <c r="BA10" s="161">
        <f>BA8*BA9</f>
        <v>0.60000000000000009</v>
      </c>
    </row>
  </sheetData>
  <sheetProtection sheet="1" objects="1" scenarios="1" selectLockedCells="1"/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J19"/>
  <sheetViews>
    <sheetView workbookViewId="0"/>
  </sheetViews>
  <sheetFormatPr baseColWidth="10" defaultRowHeight="17.25" customHeight="1"/>
  <cols>
    <col min="1" max="1" width="24.85546875" customWidth="1"/>
    <col min="2" max="2" width="23.28515625" customWidth="1"/>
    <col min="5" max="5" width="11.42578125" style="206"/>
    <col min="6" max="11" width="14.42578125" hidden="1" customWidth="1"/>
    <col min="12" max="12" width="5.5703125" customWidth="1"/>
    <col min="13" max="13" width="24.85546875" customWidth="1"/>
    <col min="14" max="14" width="23.28515625" customWidth="1"/>
    <col min="17" max="17" width="11.42578125" style="206"/>
    <col min="18" max="23" width="14.42578125" hidden="1" customWidth="1"/>
    <col min="24" max="24" width="5.5703125" customWidth="1"/>
    <col min="25" max="25" width="24.85546875" customWidth="1"/>
    <col min="26" max="26" width="23.28515625" customWidth="1"/>
    <col min="29" max="29" width="11.42578125" style="206"/>
    <col min="30" max="35" width="14.42578125" hidden="1" customWidth="1"/>
    <col min="36" max="36" width="5.5703125" customWidth="1"/>
    <col min="37" max="37" width="24.85546875" customWidth="1"/>
    <col min="38" max="38" width="23.28515625" customWidth="1"/>
    <col min="41" max="41" width="11.42578125" style="206"/>
    <col min="42" max="47" width="14.42578125" hidden="1" customWidth="1"/>
    <col min="48" max="48" width="5.5703125" customWidth="1"/>
    <col min="49" max="49" width="24.85546875" customWidth="1"/>
    <col min="50" max="50" width="23.28515625" customWidth="1"/>
    <col min="53" max="53" width="11.42578125" style="206"/>
    <col min="54" max="59" width="14.42578125" hidden="1" customWidth="1"/>
    <col min="60" max="60" width="5.5703125" customWidth="1"/>
    <col min="61" max="61" width="24.85546875" customWidth="1"/>
    <col min="62" max="62" width="23.28515625" customWidth="1"/>
  </cols>
  <sheetData>
    <row r="1" spans="1:62" ht="17.25" customHeight="1">
      <c r="A1" s="204" t="s">
        <v>202</v>
      </c>
      <c r="M1" s="204" t="s">
        <v>207</v>
      </c>
      <c r="Y1" s="204" t="s">
        <v>206</v>
      </c>
      <c r="AK1" s="204" t="s">
        <v>205</v>
      </c>
      <c r="AW1" s="204" t="s">
        <v>204</v>
      </c>
      <c r="BI1" s="204"/>
    </row>
    <row r="3" spans="1:62" ht="17.25" customHeight="1">
      <c r="A3" s="152" t="s">
        <v>11</v>
      </c>
      <c r="B3" s="59">
        <f>kalkulation!C2</f>
        <v>250</v>
      </c>
      <c r="C3" s="160"/>
      <c r="D3" s="160"/>
      <c r="E3" s="212"/>
      <c r="M3" s="152" t="s">
        <v>11</v>
      </c>
      <c r="N3" s="59">
        <f>kalkulation!O2</f>
        <v>250</v>
      </c>
      <c r="O3" s="160"/>
      <c r="P3" s="160"/>
      <c r="Q3" s="212"/>
      <c r="Y3" s="152" t="s">
        <v>11</v>
      </c>
      <c r="Z3" s="59">
        <f>kalkulation!AA2</f>
        <v>250</v>
      </c>
      <c r="AA3" s="160"/>
      <c r="AB3" s="160"/>
      <c r="AC3" s="212"/>
      <c r="AK3" s="152" t="s">
        <v>11</v>
      </c>
      <c r="AL3" s="59">
        <f>kalkulation!AM2</f>
        <v>250</v>
      </c>
      <c r="AM3" s="160"/>
      <c r="AN3" s="160"/>
      <c r="AO3" s="212"/>
      <c r="AW3" s="152" t="s">
        <v>11</v>
      </c>
      <c r="AX3" s="59">
        <f>kalkulation!AY2</f>
        <v>250</v>
      </c>
      <c r="AY3" s="160"/>
      <c r="AZ3" s="160"/>
      <c r="BA3" s="212"/>
      <c r="BI3" s="152"/>
      <c r="BJ3" s="59"/>
    </row>
    <row r="4" spans="1:62" ht="17.25" customHeight="1">
      <c r="A4" s="152" t="s">
        <v>9</v>
      </c>
      <c r="B4" s="59">
        <f>kalkulation!C3</f>
        <v>175</v>
      </c>
      <c r="C4" s="160"/>
      <c r="D4" s="160"/>
      <c r="E4" s="212"/>
      <c r="M4" s="152" t="s">
        <v>9</v>
      </c>
      <c r="N4" s="59">
        <f>kalkulation!O3</f>
        <v>175</v>
      </c>
      <c r="O4" s="160"/>
      <c r="P4" s="160"/>
      <c r="Q4" s="212"/>
      <c r="Y4" s="152" t="s">
        <v>9</v>
      </c>
      <c r="Z4" s="59">
        <f>kalkulation!AA3</f>
        <v>175</v>
      </c>
      <c r="AA4" s="160"/>
      <c r="AB4" s="160"/>
      <c r="AC4" s="212"/>
      <c r="AK4" s="152" t="s">
        <v>9</v>
      </c>
      <c r="AL4" s="59">
        <f>kalkulation!AM3</f>
        <v>175</v>
      </c>
      <c r="AM4" s="160"/>
      <c r="AN4" s="160"/>
      <c r="AO4" s="212"/>
      <c r="AW4" s="152" t="s">
        <v>9</v>
      </c>
      <c r="AX4" s="59">
        <f>kalkulation!AY3</f>
        <v>175</v>
      </c>
      <c r="AY4" s="160"/>
      <c r="AZ4" s="160"/>
      <c r="BA4" s="212"/>
      <c r="BI4" s="152"/>
      <c r="BJ4" s="59"/>
    </row>
    <row r="5" spans="1:62" ht="17.25" customHeight="1">
      <c r="A5" s="152" t="s">
        <v>112</v>
      </c>
      <c r="B5" s="59">
        <f>kalkulation!C4</f>
        <v>5</v>
      </c>
      <c r="C5" s="160"/>
      <c r="D5" s="160"/>
      <c r="E5" s="212"/>
      <c r="M5" s="152" t="s">
        <v>112</v>
      </c>
      <c r="N5" s="59">
        <f>kalkulation!O4</f>
        <v>5</v>
      </c>
      <c r="O5" s="160"/>
      <c r="P5" s="160"/>
      <c r="Q5" s="212"/>
      <c r="Y5" s="152" t="s">
        <v>112</v>
      </c>
      <c r="Z5" s="59">
        <f>kalkulation!AA4</f>
        <v>5</v>
      </c>
      <c r="AA5" s="160"/>
      <c r="AB5" s="160"/>
      <c r="AC5" s="212"/>
      <c r="AK5" s="152" t="s">
        <v>112</v>
      </c>
      <c r="AL5" s="59">
        <f>kalkulation!AM4</f>
        <v>5</v>
      </c>
      <c r="AM5" s="160"/>
      <c r="AN5" s="160"/>
      <c r="AO5" s="212"/>
      <c r="AW5" s="152" t="s">
        <v>112</v>
      </c>
      <c r="AX5" s="59">
        <f>kalkulation!AY4</f>
        <v>5</v>
      </c>
      <c r="AY5" s="160"/>
      <c r="AZ5" s="160"/>
      <c r="BA5" s="212"/>
      <c r="BI5" s="152"/>
      <c r="BJ5" s="59"/>
    </row>
    <row r="6" spans="1:62" ht="17.25" customHeight="1">
      <c r="A6" s="152" t="s">
        <v>113</v>
      </c>
      <c r="B6" s="59">
        <f>kalkulation!C5</f>
        <v>500</v>
      </c>
      <c r="C6" s="160"/>
      <c r="D6" s="160"/>
      <c r="E6" s="212"/>
      <c r="M6" s="152" t="s">
        <v>113</v>
      </c>
      <c r="N6" s="59">
        <f>kalkulation!O5</f>
        <v>500</v>
      </c>
      <c r="O6" s="160"/>
      <c r="P6" s="160"/>
      <c r="Q6" s="212"/>
      <c r="Y6" s="152" t="s">
        <v>113</v>
      </c>
      <c r="Z6" s="59">
        <f>kalkulation!AA5</f>
        <v>500</v>
      </c>
      <c r="AA6" s="160"/>
      <c r="AB6" s="160"/>
      <c r="AC6" s="212"/>
      <c r="AK6" s="152" t="s">
        <v>113</v>
      </c>
      <c r="AL6" s="59">
        <f>kalkulation!AM5</f>
        <v>500</v>
      </c>
      <c r="AM6" s="160"/>
      <c r="AN6" s="160"/>
      <c r="AO6" s="212"/>
      <c r="AW6" s="152" t="s">
        <v>113</v>
      </c>
      <c r="AX6" s="59">
        <f>kalkulation!AY5</f>
        <v>500</v>
      </c>
      <c r="AY6" s="160"/>
      <c r="AZ6" s="160"/>
      <c r="BA6" s="212"/>
      <c r="BI6" s="152"/>
      <c r="BJ6" s="59"/>
    </row>
    <row r="7" spans="1:62" ht="17.25" customHeight="1">
      <c r="A7" s="152" t="s">
        <v>135</v>
      </c>
      <c r="B7" s="58" t="str">
        <f>kalkulation!C7</f>
        <v>Selbstklebend</v>
      </c>
      <c r="C7" s="169"/>
      <c r="D7" s="169"/>
      <c r="E7" s="213"/>
      <c r="M7" s="152" t="s">
        <v>135</v>
      </c>
      <c r="N7" s="58" t="str">
        <f>kalkulation!O7</f>
        <v>Selbstklebend</v>
      </c>
      <c r="O7" s="169"/>
      <c r="P7" s="169"/>
      <c r="Q7" s="213"/>
      <c r="Y7" s="152" t="s">
        <v>135</v>
      </c>
      <c r="Z7" s="58" t="str">
        <f>kalkulation!AA7</f>
        <v>Selbstklebend</v>
      </c>
      <c r="AA7" s="169"/>
      <c r="AB7" s="169"/>
      <c r="AC7" s="213"/>
      <c r="AK7" s="152" t="s">
        <v>135</v>
      </c>
      <c r="AL7" s="58" t="str">
        <f>kalkulation!AM7</f>
        <v>Selbstklebend</v>
      </c>
      <c r="AM7" s="169"/>
      <c r="AN7" s="169"/>
      <c r="AO7" s="213"/>
      <c r="AW7" s="152" t="s">
        <v>135</v>
      </c>
      <c r="AX7" s="58" t="str">
        <f>kalkulation!AY7</f>
        <v>Selbstklebend</v>
      </c>
      <c r="AY7" s="169"/>
      <c r="AZ7" s="169"/>
      <c r="BA7" s="213"/>
      <c r="BI7" s="152"/>
      <c r="BJ7" s="58"/>
    </row>
    <row r="8" spans="1:62" ht="17.25" customHeight="1">
      <c r="A8" s="153" t="s">
        <v>162</v>
      </c>
      <c r="B8" s="214">
        <f>SUM(E10:E19)</f>
        <v>0.1</v>
      </c>
      <c r="C8" s="165"/>
      <c r="D8" s="165"/>
      <c r="E8" s="212"/>
      <c r="M8" s="153" t="s">
        <v>162</v>
      </c>
      <c r="N8" s="214">
        <f>SUM(Q10:Q19)</f>
        <v>0.1</v>
      </c>
      <c r="O8" s="165"/>
      <c r="P8" s="165"/>
      <c r="Q8" s="212"/>
      <c r="Y8" s="153" t="s">
        <v>162</v>
      </c>
      <c r="Z8" s="214">
        <f>SUM(AC10:AC19)</f>
        <v>0.1</v>
      </c>
      <c r="AA8" s="165"/>
      <c r="AB8" s="165"/>
      <c r="AC8" s="212"/>
      <c r="AK8" s="153" t="s">
        <v>162</v>
      </c>
      <c r="AL8" s="214">
        <f>SUM(AO10:AO19)</f>
        <v>0.1</v>
      </c>
      <c r="AM8" s="165"/>
      <c r="AN8" s="165"/>
      <c r="AO8" s="212"/>
      <c r="AW8" s="153" t="s">
        <v>162</v>
      </c>
      <c r="AX8" s="214">
        <f>SUM(BA10:BA19)</f>
        <v>0.1</v>
      </c>
      <c r="AY8" s="165"/>
      <c r="AZ8" s="165"/>
      <c r="BA8" s="212"/>
      <c r="BI8" s="153"/>
      <c r="BJ8" s="214"/>
    </row>
    <row r="10" spans="1:62" ht="17.25" customHeight="1">
      <c r="A10" s="207" t="s">
        <v>103</v>
      </c>
      <c r="B10" s="208"/>
      <c r="C10" s="209">
        <v>0</v>
      </c>
      <c r="D10" s="306">
        <f>C10</f>
        <v>0</v>
      </c>
      <c r="E10" s="215">
        <f>IF($B$7=A10,D10,0)</f>
        <v>0</v>
      </c>
      <c r="M10" s="207" t="s">
        <v>103</v>
      </c>
      <c r="N10" s="208"/>
      <c r="O10" s="209">
        <v>0</v>
      </c>
      <c r="P10" s="306">
        <f>O10</f>
        <v>0</v>
      </c>
      <c r="Q10" s="215">
        <f>IF($B$7=M10,P10,0)</f>
        <v>0</v>
      </c>
      <c r="Y10" s="207" t="s">
        <v>103</v>
      </c>
      <c r="Z10" s="208"/>
      <c r="AA10" s="209">
        <v>0</v>
      </c>
      <c r="AB10" s="306">
        <f>AA10</f>
        <v>0</v>
      </c>
      <c r="AC10" s="215">
        <f>IF($B$7=Y10,AB10,0)</f>
        <v>0</v>
      </c>
      <c r="AK10" s="207" t="s">
        <v>103</v>
      </c>
      <c r="AL10" s="208"/>
      <c r="AM10" s="209">
        <v>0</v>
      </c>
      <c r="AN10" s="306">
        <f>AM10</f>
        <v>0</v>
      </c>
      <c r="AO10" s="215">
        <f>IF($B$7=AK10,AN10,0)</f>
        <v>0</v>
      </c>
      <c r="AW10" s="207" t="s">
        <v>103</v>
      </c>
      <c r="AX10" s="208"/>
      <c r="AY10" s="209">
        <v>0</v>
      </c>
      <c r="AZ10" s="306">
        <f>AY10</f>
        <v>0</v>
      </c>
      <c r="BA10" s="215">
        <f>IF($B$7=AW10,AZ10,0)</f>
        <v>0</v>
      </c>
      <c r="BI10" s="207"/>
      <c r="BJ10" s="208"/>
    </row>
    <row r="11" spans="1:62" ht="17.25" customHeight="1">
      <c r="A11" s="177" t="s">
        <v>65</v>
      </c>
      <c r="B11" t="s">
        <v>161</v>
      </c>
      <c r="C11" s="210">
        <v>0.06</v>
      </c>
      <c r="D11" s="211">
        <f>C11</f>
        <v>0.06</v>
      </c>
      <c r="E11" s="216">
        <f>IF(B$7=A11,D11,0)</f>
        <v>0</v>
      </c>
      <c r="M11" s="177" t="s">
        <v>65</v>
      </c>
      <c r="N11" t="s">
        <v>161</v>
      </c>
      <c r="O11" s="210">
        <v>0.06</v>
      </c>
      <c r="P11" s="211">
        <f>O11</f>
        <v>0.06</v>
      </c>
      <c r="Q11" s="216">
        <f>IF(N$7=M11,P11,0)</f>
        <v>0</v>
      </c>
      <c r="Y11" s="177" t="s">
        <v>65</v>
      </c>
      <c r="Z11" t="s">
        <v>161</v>
      </c>
      <c r="AA11" s="210">
        <v>0.06</v>
      </c>
      <c r="AB11" s="211">
        <f>AA11</f>
        <v>0.06</v>
      </c>
      <c r="AC11" s="216">
        <f>IF(Z$7=Y11,AB11,0)</f>
        <v>0</v>
      </c>
      <c r="AK11" s="177" t="s">
        <v>65</v>
      </c>
      <c r="AL11" t="s">
        <v>161</v>
      </c>
      <c r="AM11" s="210">
        <v>0.06</v>
      </c>
      <c r="AN11" s="211">
        <f>AM11</f>
        <v>0.06</v>
      </c>
      <c r="AO11" s="216">
        <f>IF(AL$7=AK11,AN11,0)</f>
        <v>0</v>
      </c>
      <c r="AW11" s="177" t="s">
        <v>65</v>
      </c>
      <c r="AX11" t="s">
        <v>161</v>
      </c>
      <c r="AY11" s="210">
        <v>0.06</v>
      </c>
      <c r="AZ11" s="211">
        <f>AY11</f>
        <v>0.06</v>
      </c>
      <c r="BA11" s="216">
        <f>IF(AX$7=AW11,AZ11,0)</f>
        <v>0</v>
      </c>
      <c r="BI11" s="177"/>
    </row>
    <row r="12" spans="1:62" ht="17.25" customHeight="1">
      <c r="A12" s="177" t="s">
        <v>297</v>
      </c>
      <c r="B12" t="s">
        <v>298</v>
      </c>
      <c r="C12" s="210">
        <v>0.1</v>
      </c>
      <c r="D12" s="211">
        <f>C12</f>
        <v>0.1</v>
      </c>
      <c r="E12" s="216">
        <f t="shared" ref="E12:E14" si="0">IF(B$7=A12,D12,0)</f>
        <v>0.1</v>
      </c>
      <c r="M12" s="177" t="s">
        <v>297</v>
      </c>
      <c r="N12" t="s">
        <v>298</v>
      </c>
      <c r="O12" s="210">
        <v>0.1</v>
      </c>
      <c r="P12" s="211">
        <f>O12</f>
        <v>0.1</v>
      </c>
      <c r="Q12" s="216">
        <f t="shared" ref="Q12:Q14" si="1">IF(N$7=M12,P12,0)</f>
        <v>0.1</v>
      </c>
      <c r="Y12" s="177" t="s">
        <v>297</v>
      </c>
      <c r="Z12" t="s">
        <v>298</v>
      </c>
      <c r="AA12" s="210">
        <v>0.1</v>
      </c>
      <c r="AB12" s="211">
        <f>AA12</f>
        <v>0.1</v>
      </c>
      <c r="AC12" s="216">
        <f t="shared" ref="AC12:AC14" si="2">IF(Z$7=Y12,AB12,0)</f>
        <v>0.1</v>
      </c>
      <c r="AK12" s="177" t="s">
        <v>297</v>
      </c>
      <c r="AL12" t="s">
        <v>298</v>
      </c>
      <c r="AM12" s="210">
        <v>0.1</v>
      </c>
      <c r="AN12" s="211">
        <f>AM12</f>
        <v>0.1</v>
      </c>
      <c r="AO12" s="216">
        <f t="shared" ref="AO12:AO14" si="3">IF(AL$7=AK12,AN12,0)</f>
        <v>0.1</v>
      </c>
      <c r="AW12" s="177" t="s">
        <v>297</v>
      </c>
      <c r="AX12" t="s">
        <v>298</v>
      </c>
      <c r="AY12" s="210">
        <v>0.1</v>
      </c>
      <c r="AZ12" s="211">
        <f>AY12</f>
        <v>0.1</v>
      </c>
      <c r="BA12" s="216">
        <f t="shared" ref="BA12:BA14" si="4">IF(AX$7=AW12,AZ12,0)</f>
        <v>0.1</v>
      </c>
      <c r="BI12" s="177"/>
    </row>
    <row r="13" spans="1:62" ht="17.25" customHeight="1">
      <c r="A13" s="177" t="s">
        <v>77</v>
      </c>
      <c r="C13" s="210">
        <v>0.5</v>
      </c>
      <c r="D13" s="211">
        <v>0.25</v>
      </c>
      <c r="E13" s="216">
        <f t="shared" si="0"/>
        <v>0</v>
      </c>
      <c r="M13" s="177" t="s">
        <v>77</v>
      </c>
      <c r="O13" s="210">
        <v>0.5</v>
      </c>
      <c r="P13" s="211">
        <v>0.25</v>
      </c>
      <c r="Q13" s="216">
        <f t="shared" si="1"/>
        <v>0</v>
      </c>
      <c r="Y13" s="177" t="s">
        <v>77</v>
      </c>
      <c r="AA13" s="210">
        <v>0.5</v>
      </c>
      <c r="AB13" s="211">
        <v>0.25</v>
      </c>
      <c r="AC13" s="216">
        <f t="shared" si="2"/>
        <v>0</v>
      </c>
      <c r="AK13" s="177" t="s">
        <v>77</v>
      </c>
      <c r="AM13" s="210">
        <v>0.5</v>
      </c>
      <c r="AN13" s="211">
        <v>0.25</v>
      </c>
      <c r="AO13" s="216">
        <f t="shared" si="3"/>
        <v>0</v>
      </c>
      <c r="AW13" s="177" t="s">
        <v>77</v>
      </c>
      <c r="AY13" s="210">
        <v>0.5</v>
      </c>
      <c r="AZ13" s="211">
        <v>0.25</v>
      </c>
      <c r="BA13" s="216">
        <f t="shared" si="4"/>
        <v>0</v>
      </c>
      <c r="BI13" s="177"/>
    </row>
    <row r="14" spans="1:62" ht="17.25" customHeight="1">
      <c r="A14" s="177" t="s">
        <v>79</v>
      </c>
      <c r="B14" t="s">
        <v>163</v>
      </c>
      <c r="C14" s="210">
        <v>0.5</v>
      </c>
      <c r="D14" s="211">
        <v>0.25</v>
      </c>
      <c r="E14" s="216">
        <f t="shared" si="0"/>
        <v>0</v>
      </c>
      <c r="M14" s="177" t="s">
        <v>79</v>
      </c>
      <c r="N14" t="s">
        <v>163</v>
      </c>
      <c r="O14" s="210">
        <v>0.5</v>
      </c>
      <c r="P14" s="211">
        <v>0.25</v>
      </c>
      <c r="Q14" s="216">
        <f t="shared" si="1"/>
        <v>0</v>
      </c>
      <c r="Y14" s="177" t="s">
        <v>79</v>
      </c>
      <c r="Z14" t="s">
        <v>163</v>
      </c>
      <c r="AA14" s="210">
        <v>0.5</v>
      </c>
      <c r="AB14" s="211">
        <v>0.25</v>
      </c>
      <c r="AC14" s="216">
        <f t="shared" si="2"/>
        <v>0</v>
      </c>
      <c r="AK14" s="177" t="s">
        <v>79</v>
      </c>
      <c r="AL14" t="s">
        <v>163</v>
      </c>
      <c r="AM14" s="210">
        <v>0.5</v>
      </c>
      <c r="AN14" s="211">
        <v>0.25</v>
      </c>
      <c r="AO14" s="216">
        <f t="shared" si="3"/>
        <v>0</v>
      </c>
      <c r="AW14" s="177" t="s">
        <v>79</v>
      </c>
      <c r="AX14" t="s">
        <v>163</v>
      </c>
      <c r="AY14" s="210">
        <v>0.5</v>
      </c>
      <c r="AZ14" s="211">
        <v>0.25</v>
      </c>
      <c r="BA14" s="216">
        <f t="shared" si="4"/>
        <v>0</v>
      </c>
      <c r="BI14" s="177"/>
    </row>
    <row r="15" spans="1:62" ht="17.25" customHeight="1">
      <c r="A15" s="177"/>
      <c r="E15" s="216"/>
      <c r="M15" s="177"/>
      <c r="Q15" s="216"/>
      <c r="Y15" s="177"/>
      <c r="AC15" s="216"/>
      <c r="AK15" s="177"/>
      <c r="AO15" s="216"/>
      <c r="AW15" s="177"/>
      <c r="BA15" s="216"/>
      <c r="BI15" s="177"/>
    </row>
    <row r="16" spans="1:62" ht="17.25" customHeight="1">
      <c r="A16" s="177"/>
      <c r="E16" s="216"/>
      <c r="F16" s="206"/>
      <c r="M16" s="177"/>
      <c r="Q16" s="216"/>
      <c r="R16" s="206"/>
      <c r="Y16" s="177"/>
      <c r="AC16" s="216"/>
      <c r="AD16" s="206"/>
      <c r="AK16" s="177"/>
      <c r="AO16" s="216"/>
      <c r="AP16" s="206"/>
      <c r="AW16" s="177"/>
      <c r="BA16" s="216"/>
      <c r="BB16" s="206"/>
      <c r="BI16" s="177"/>
    </row>
    <row r="17" spans="1:62" ht="17.25" customHeight="1">
      <c r="A17" s="177"/>
      <c r="E17" s="216"/>
      <c r="M17" s="177"/>
      <c r="Q17" s="216"/>
      <c r="Y17" s="177"/>
      <c r="AC17" s="216"/>
      <c r="AK17" s="177"/>
      <c r="AO17" s="216"/>
      <c r="AW17" s="177"/>
      <c r="BA17" s="216"/>
      <c r="BI17" s="177"/>
    </row>
    <row r="18" spans="1:62" ht="17.25" customHeight="1">
      <c r="A18" s="177"/>
      <c r="E18" s="216"/>
      <c r="M18" s="177"/>
      <c r="Q18" s="216"/>
      <c r="Y18" s="177"/>
      <c r="AC18" s="216"/>
      <c r="AK18" s="177"/>
      <c r="AO18" s="216"/>
      <c r="AW18" s="177"/>
      <c r="BA18" s="216"/>
      <c r="BI18" s="177"/>
    </row>
    <row r="19" spans="1:62" ht="17.25" customHeight="1">
      <c r="A19" s="178"/>
      <c r="B19" s="187"/>
      <c r="C19" s="187"/>
      <c r="D19" s="187"/>
      <c r="E19" s="189"/>
      <c r="M19" s="178"/>
      <c r="N19" s="187"/>
      <c r="O19" s="187"/>
      <c r="P19" s="187"/>
      <c r="Q19" s="189"/>
      <c r="Y19" s="178"/>
      <c r="Z19" s="187"/>
      <c r="AA19" s="187"/>
      <c r="AB19" s="187"/>
      <c r="AC19" s="189"/>
      <c r="AK19" s="178"/>
      <c r="AL19" s="187"/>
      <c r="AM19" s="187"/>
      <c r="AN19" s="187"/>
      <c r="AO19" s="189"/>
      <c r="AW19" s="178"/>
      <c r="AX19" s="187"/>
      <c r="AY19" s="187"/>
      <c r="AZ19" s="187"/>
      <c r="BA19" s="189"/>
      <c r="BI19" s="178"/>
      <c r="BJ19" s="187"/>
    </row>
  </sheetData>
  <sheetProtection selectLockedCells="1"/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L66"/>
  <sheetViews>
    <sheetView workbookViewId="0">
      <selection activeCell="D11" sqref="D11"/>
    </sheetView>
  </sheetViews>
  <sheetFormatPr baseColWidth="10" defaultRowHeight="15"/>
  <cols>
    <col min="1" max="1" width="25" customWidth="1"/>
    <col min="2" max="2" width="10.28515625" customWidth="1"/>
    <col min="3" max="3" width="10.28515625" style="206" customWidth="1"/>
  </cols>
  <sheetData>
    <row r="2" spans="1:12">
      <c r="A2" s="59"/>
      <c r="B2" s="59"/>
      <c r="C2" s="60"/>
      <c r="D2" s="238" t="s">
        <v>125</v>
      </c>
      <c r="E2" s="220" t="s">
        <v>146</v>
      </c>
      <c r="F2" s="224"/>
      <c r="G2" s="223"/>
      <c r="H2" s="224"/>
      <c r="I2" s="2"/>
      <c r="J2" s="2"/>
      <c r="K2" s="2"/>
      <c r="L2" s="2"/>
    </row>
    <row r="3" spans="1:12">
      <c r="A3" s="2"/>
      <c r="B3" s="2"/>
      <c r="C3" s="3"/>
      <c r="D3" s="238"/>
      <c r="E3" s="220"/>
      <c r="F3" s="2"/>
      <c r="G3" s="223"/>
      <c r="H3" s="224"/>
      <c r="I3" s="2"/>
      <c r="J3" s="2"/>
      <c r="K3" s="2"/>
      <c r="L3" s="2"/>
    </row>
    <row r="4" spans="1:12">
      <c r="A4" s="2"/>
      <c r="B4" s="2"/>
      <c r="C4" s="3"/>
      <c r="D4" s="238"/>
      <c r="E4" s="220"/>
      <c r="F4" s="2"/>
      <c r="G4" s="223"/>
      <c r="H4" s="224"/>
      <c r="I4" s="2"/>
      <c r="J4" s="2"/>
      <c r="K4" s="2"/>
      <c r="L4" s="2"/>
    </row>
    <row r="5" spans="1:12">
      <c r="A5" s="2"/>
      <c r="B5" s="2"/>
      <c r="C5" s="3" t="s">
        <v>246</v>
      </c>
      <c r="D5" s="238"/>
      <c r="E5" s="220"/>
      <c r="F5" s="2"/>
      <c r="G5" s="223"/>
      <c r="H5" s="224"/>
      <c r="I5" s="2"/>
      <c r="J5" s="2"/>
      <c r="K5" s="2"/>
      <c r="L5" s="2"/>
    </row>
    <row r="6" spans="1:12">
      <c r="A6" s="273" t="s">
        <v>114</v>
      </c>
      <c r="B6" s="273">
        <v>1.5</v>
      </c>
      <c r="C6" s="282">
        <v>0.65</v>
      </c>
      <c r="D6" s="274">
        <v>0.65</v>
      </c>
      <c r="E6" s="275"/>
      <c r="F6" s="10"/>
      <c r="G6" s="223"/>
      <c r="H6" s="224"/>
      <c r="I6" s="2"/>
      <c r="J6" s="2"/>
      <c r="K6" s="2"/>
      <c r="L6" s="2"/>
    </row>
    <row r="7" spans="1:12">
      <c r="A7" s="273" t="s">
        <v>115</v>
      </c>
      <c r="B7" s="273">
        <v>1.5</v>
      </c>
      <c r="C7" s="282">
        <v>0.75</v>
      </c>
      <c r="D7" s="274">
        <v>0.75</v>
      </c>
      <c r="E7" s="275"/>
      <c r="F7" s="10"/>
      <c r="G7" s="223"/>
      <c r="H7" s="224"/>
      <c r="I7" s="2"/>
      <c r="J7" s="2"/>
      <c r="K7" s="2"/>
      <c r="L7" s="2"/>
    </row>
    <row r="8" spans="1:12">
      <c r="A8" s="273" t="s">
        <v>116</v>
      </c>
      <c r="B8" s="273">
        <v>1.5</v>
      </c>
      <c r="C8" s="282">
        <v>0.9</v>
      </c>
      <c r="D8" s="274">
        <v>0.9</v>
      </c>
      <c r="E8" s="275">
        <v>0.74</v>
      </c>
      <c r="F8" s="10"/>
      <c r="G8" s="223"/>
      <c r="H8" s="224"/>
      <c r="I8" s="2"/>
      <c r="J8" s="2"/>
      <c r="K8" s="2"/>
      <c r="L8" s="2"/>
    </row>
    <row r="9" spans="1:12">
      <c r="A9" s="273" t="s">
        <v>117</v>
      </c>
      <c r="B9" s="273">
        <v>3</v>
      </c>
      <c r="C9" s="282">
        <v>0.72</v>
      </c>
      <c r="D9" s="274">
        <v>0.72</v>
      </c>
      <c r="E9" s="275">
        <v>0.46</v>
      </c>
      <c r="F9" s="10"/>
      <c r="G9" s="223"/>
      <c r="H9" s="224"/>
      <c r="I9" s="2"/>
      <c r="J9" s="2"/>
      <c r="K9" s="2"/>
      <c r="L9" s="2"/>
    </row>
    <row r="10" spans="1:12">
      <c r="A10" s="273" t="s">
        <v>118</v>
      </c>
      <c r="B10" s="273">
        <v>3</v>
      </c>
      <c r="C10" s="282">
        <v>0.87</v>
      </c>
      <c r="D10" s="274">
        <v>0.87</v>
      </c>
      <c r="E10" s="275">
        <v>0.60299999999999998</v>
      </c>
      <c r="F10" s="10"/>
      <c r="G10" s="223"/>
      <c r="H10" s="224"/>
      <c r="I10" s="2"/>
      <c r="J10" s="2"/>
      <c r="K10" s="2"/>
      <c r="L10" s="2"/>
    </row>
    <row r="11" spans="1:12">
      <c r="A11" s="273" t="s">
        <v>119</v>
      </c>
      <c r="B11" s="273">
        <v>3</v>
      </c>
      <c r="C11" s="282">
        <v>1.2</v>
      </c>
      <c r="D11" s="274">
        <v>1.2</v>
      </c>
      <c r="E11" s="275">
        <v>0.9</v>
      </c>
      <c r="F11" s="10"/>
      <c r="G11" s="223"/>
      <c r="H11" s="224"/>
      <c r="I11" s="2"/>
      <c r="J11" s="2"/>
      <c r="K11" s="2"/>
      <c r="L11" s="2"/>
    </row>
    <row r="12" spans="1:12">
      <c r="A12" s="273" t="s">
        <v>120</v>
      </c>
      <c r="B12" s="273">
        <v>4</v>
      </c>
      <c r="C12" s="282">
        <v>0.75</v>
      </c>
      <c r="D12" s="274">
        <v>0.75</v>
      </c>
      <c r="E12" s="275">
        <v>0.52600000000000002</v>
      </c>
      <c r="F12" s="10"/>
      <c r="G12" s="223"/>
      <c r="H12" s="224"/>
      <c r="I12" s="2"/>
      <c r="J12" s="2"/>
      <c r="K12" s="2"/>
      <c r="L12" s="2"/>
    </row>
    <row r="13" spans="1:12">
      <c r="A13" s="273" t="s">
        <v>121</v>
      </c>
      <c r="B13" s="273">
        <v>4</v>
      </c>
      <c r="C13" s="282">
        <v>0.9</v>
      </c>
      <c r="D13" s="274">
        <v>0.9</v>
      </c>
      <c r="E13" s="275">
        <v>0.64400000000000002</v>
      </c>
      <c r="F13" s="10"/>
      <c r="G13" s="223"/>
      <c r="H13" s="224"/>
      <c r="I13" s="2"/>
      <c r="J13" s="2"/>
      <c r="K13" s="2"/>
      <c r="L13" s="2"/>
    </row>
    <row r="14" spans="1:12">
      <c r="A14" s="273" t="s">
        <v>178</v>
      </c>
      <c r="B14" s="273">
        <v>4</v>
      </c>
      <c r="C14" s="282">
        <v>1.25</v>
      </c>
      <c r="D14" s="274">
        <v>1.25</v>
      </c>
      <c r="E14" s="275"/>
      <c r="F14" s="10"/>
      <c r="G14" s="223"/>
      <c r="H14" s="224"/>
      <c r="I14" s="2"/>
      <c r="J14" s="2"/>
      <c r="K14" s="2"/>
      <c r="L14" s="2"/>
    </row>
    <row r="15" spans="1:12">
      <c r="A15" s="273" t="s">
        <v>177</v>
      </c>
      <c r="B15" s="273">
        <v>6.7</v>
      </c>
      <c r="C15" s="282">
        <v>1.25</v>
      </c>
      <c r="D15" s="274">
        <v>1.25</v>
      </c>
      <c r="E15" s="275">
        <v>0.751</v>
      </c>
      <c r="F15" s="10"/>
      <c r="G15" s="240"/>
      <c r="H15" s="241">
        <f ca="1">H16*material!$D$5</f>
        <v>84.829241071428584</v>
      </c>
      <c r="I15" s="217"/>
      <c r="J15" s="217"/>
      <c r="K15" s="217"/>
      <c r="L15" s="219"/>
    </row>
    <row r="16" spans="1:12">
      <c r="A16" s="273" t="s">
        <v>179</v>
      </c>
      <c r="B16" s="273">
        <v>6.7</v>
      </c>
      <c r="C16" s="283">
        <v>1.5</v>
      </c>
      <c r="D16" s="274">
        <v>1.5</v>
      </c>
      <c r="E16" s="276"/>
      <c r="F16" s="10"/>
      <c r="G16" s="21"/>
      <c r="H16" s="242">
        <f ca="1">SUM(H17:H65)</f>
        <v>0.16965848214285717</v>
      </c>
      <c r="I16" s="185" t="s">
        <v>182</v>
      </c>
      <c r="J16" s="185"/>
      <c r="K16" s="185"/>
      <c r="L16" s="186"/>
    </row>
    <row r="17" spans="1:12">
      <c r="A17" s="273" t="s">
        <v>180</v>
      </c>
      <c r="B17" s="273">
        <v>6.7</v>
      </c>
      <c r="C17" s="283">
        <v>2</v>
      </c>
      <c r="D17" s="274">
        <v>2</v>
      </c>
      <c r="E17" s="276"/>
      <c r="F17" s="10"/>
      <c r="G17" s="224">
        <f ca="1">SUMIF(A2:A22,material!D14,E2:E21)</f>
        <v>0.52600000000000002</v>
      </c>
      <c r="H17" s="223">
        <f ca="1">G17*(material!$D$6*material!$D$9)</f>
        <v>3.3931696428571433E-2</v>
      </c>
      <c r="I17" s="2"/>
      <c r="J17" s="2"/>
      <c r="K17" s="2"/>
      <c r="L17" s="2"/>
    </row>
    <row r="18" spans="1:12">
      <c r="A18" s="2"/>
      <c r="B18" s="2"/>
      <c r="C18" s="3"/>
      <c r="D18" s="239"/>
      <c r="E18" s="28"/>
      <c r="F18" s="10"/>
      <c r="G18" s="224">
        <f ca="1">SUMIF(A3:A23,material!D15,E3:E22)</f>
        <v>0.52600000000000002</v>
      </c>
      <c r="H18" s="223">
        <f ca="1">G18*(material!$D$6*material!$D$9)</f>
        <v>3.3931696428571433E-2</v>
      </c>
      <c r="I18" s="150"/>
      <c r="J18" s="2"/>
      <c r="K18" s="2"/>
      <c r="L18" s="2"/>
    </row>
    <row r="19" spans="1:12">
      <c r="A19" s="2"/>
      <c r="B19" s="2"/>
      <c r="C19" s="3"/>
      <c r="D19" s="239"/>
      <c r="E19" s="28"/>
      <c r="F19" s="221"/>
      <c r="G19" s="224">
        <f ca="1">SUMIF(A4:A24,material!D16,E4:E23)</f>
        <v>0.52600000000000002</v>
      </c>
      <c r="H19" s="223">
        <f ca="1">G19*(material!$D$6*material!$D$9)</f>
        <v>3.3931696428571433E-2</v>
      </c>
      <c r="I19" s="2"/>
      <c r="J19" s="150"/>
      <c r="K19" s="2"/>
      <c r="L19" s="2"/>
    </row>
    <row r="20" spans="1:12">
      <c r="A20" s="2"/>
      <c r="B20" s="2"/>
      <c r="C20" s="3"/>
      <c r="D20" s="222"/>
      <c r="E20" s="136"/>
      <c r="F20" s="221"/>
      <c r="G20" s="224">
        <f ca="1">SUMIF(A5:A25,material!D17,E5:E24)</f>
        <v>0.52600000000000002</v>
      </c>
      <c r="H20" s="223">
        <f ca="1">G20*(material!$D$6*material!$D$9)</f>
        <v>3.3931696428571433E-2</v>
      </c>
      <c r="I20" s="2"/>
      <c r="J20" s="2"/>
      <c r="K20" s="2"/>
      <c r="L20" s="2"/>
    </row>
    <row r="21" spans="1:12">
      <c r="A21" s="2"/>
      <c r="B21" s="2"/>
      <c r="C21" s="3"/>
      <c r="D21" s="222"/>
      <c r="E21" s="136"/>
      <c r="F21" s="136"/>
      <c r="G21" s="224">
        <f ca="1">SUMIF(A6:A26,material!D18,E6:E25)</f>
        <v>0.52600000000000002</v>
      </c>
      <c r="H21" s="223">
        <f ca="1">G21*(material!$D$6*material!$D$9)</f>
        <v>3.3931696428571433E-2</v>
      </c>
      <c r="I21" s="2"/>
      <c r="J21" s="2"/>
      <c r="K21" s="2"/>
      <c r="L21" s="2"/>
    </row>
    <row r="22" spans="1:12">
      <c r="A22" s="2"/>
      <c r="B22" s="2"/>
      <c r="C22" s="3"/>
      <c r="D22" s="222"/>
      <c r="E22" s="136"/>
      <c r="F22" s="136"/>
      <c r="G22" s="224">
        <f ca="1">SUMIF(A7:A27,material!D19,E7:E26)</f>
        <v>0</v>
      </c>
      <c r="H22" s="223">
        <f ca="1">G22*(material!$D$6*material!$D$9)</f>
        <v>0</v>
      </c>
      <c r="I22" s="2"/>
      <c r="J22" s="2"/>
      <c r="K22" s="2"/>
      <c r="L22" s="2"/>
    </row>
    <row r="23" spans="1:12">
      <c r="A23" s="2"/>
      <c r="B23" s="2"/>
      <c r="C23" s="3"/>
      <c r="D23" s="222"/>
      <c r="E23" s="136"/>
      <c r="F23" s="136"/>
      <c r="G23" s="224">
        <f ca="1">SUMIF(A8:A28,material!D20,E8:E27)</f>
        <v>0</v>
      </c>
      <c r="H23" s="223">
        <f ca="1">G23*(material!$D$6*material!$D$9)</f>
        <v>0</v>
      </c>
      <c r="I23" s="2"/>
      <c r="J23" s="2"/>
      <c r="K23" s="2"/>
      <c r="L23" s="2"/>
    </row>
    <row r="24" spans="1:12">
      <c r="A24" s="2"/>
      <c r="B24" s="2"/>
      <c r="C24" s="3"/>
      <c r="D24" s="222"/>
      <c r="E24" s="136"/>
      <c r="F24" s="136"/>
      <c r="G24" s="224">
        <f ca="1">SUMIF(A9:A29,material!D21,E9:E28)</f>
        <v>0</v>
      </c>
      <c r="H24" s="223">
        <f ca="1">G24*(material!$D$6*material!$D$9)</f>
        <v>0</v>
      </c>
      <c r="I24" s="2"/>
      <c r="J24" s="2"/>
      <c r="K24" s="2"/>
      <c r="L24" s="2"/>
    </row>
    <row r="25" spans="1:12">
      <c r="A25" s="2"/>
      <c r="B25" s="2"/>
      <c r="C25" s="3"/>
      <c r="D25" s="222"/>
      <c r="E25" s="136"/>
      <c r="F25" s="136"/>
      <c r="G25" s="224">
        <f ca="1">SUMIF(A10:A30,material!D22,E10:E29)</f>
        <v>0</v>
      </c>
      <c r="H25" s="223">
        <f ca="1">G25*(material!$D$6*material!$D$9)</f>
        <v>0</v>
      </c>
      <c r="I25" s="2"/>
      <c r="J25" s="2"/>
      <c r="K25" s="2"/>
      <c r="L25" s="2"/>
    </row>
    <row r="26" spans="1:12">
      <c r="A26" s="2"/>
      <c r="B26" s="2"/>
      <c r="C26" s="3"/>
      <c r="D26" s="222"/>
      <c r="E26" s="136"/>
      <c r="F26" s="136"/>
      <c r="G26" s="224">
        <f ca="1">SUMIF(A11:A31,material!D23,E11:E30)</f>
        <v>0</v>
      </c>
      <c r="H26" s="223">
        <f ca="1">G26*(material!$D$6*material!$D$9)</f>
        <v>0</v>
      </c>
      <c r="I26" s="2"/>
      <c r="J26" s="2"/>
      <c r="K26" s="2"/>
      <c r="L26" s="2"/>
    </row>
    <row r="27" spans="1:12">
      <c r="A27" s="2"/>
      <c r="B27" s="2"/>
      <c r="C27" s="3"/>
      <c r="D27" s="222"/>
      <c r="E27" s="136"/>
      <c r="F27" s="136"/>
      <c r="G27" s="224">
        <f ca="1">SUMIF(A12:A32,material!D24,E12:E31)</f>
        <v>0</v>
      </c>
      <c r="H27" s="223">
        <f ca="1">G27*(material!$D$6*material!$D$9)</f>
        <v>0</v>
      </c>
      <c r="I27" s="2"/>
      <c r="J27" s="2"/>
      <c r="K27" s="2"/>
      <c r="L27" s="2"/>
    </row>
    <row r="28" spans="1:12">
      <c r="A28" s="2"/>
      <c r="B28" s="2"/>
      <c r="C28" s="3"/>
      <c r="D28" s="222"/>
      <c r="E28" s="136"/>
      <c r="F28" s="136"/>
      <c r="G28" s="224">
        <f ca="1">SUMIF(A12:A33,material!D25,E12:E32)</f>
        <v>0</v>
      </c>
      <c r="H28" s="223">
        <f ca="1">G28*(material!$D$6*material!$D$9)</f>
        <v>0</v>
      </c>
      <c r="I28" s="2"/>
      <c r="J28" s="2"/>
      <c r="K28" s="2"/>
      <c r="L28" s="2"/>
    </row>
    <row r="29" spans="1:12">
      <c r="A29" s="2"/>
      <c r="B29" s="2"/>
      <c r="C29" s="3"/>
      <c r="D29" s="222"/>
      <c r="E29" s="136"/>
      <c r="F29" s="136"/>
      <c r="G29" s="224">
        <f ca="1">SUMIF(A12:A34,material!D26,E12:E33)</f>
        <v>0</v>
      </c>
      <c r="H29" s="223">
        <f ca="1">G29*(material!$D$6*material!$D$9)</f>
        <v>0</v>
      </c>
      <c r="I29" s="2"/>
      <c r="J29" s="2"/>
      <c r="K29" s="2"/>
      <c r="L29" s="2"/>
    </row>
    <row r="30" spans="1:12">
      <c r="A30" s="2"/>
      <c r="B30" s="2"/>
      <c r="C30" s="3"/>
      <c r="D30" s="222"/>
      <c r="E30" s="136"/>
      <c r="F30" s="136"/>
      <c r="G30" s="224">
        <f ca="1">SUMIF(A12:A35,material!D27,E12:E34)</f>
        <v>0</v>
      </c>
      <c r="H30" s="223">
        <f ca="1">G30*(material!$D$6*material!$D$9)</f>
        <v>0</v>
      </c>
      <c r="I30" s="2"/>
      <c r="J30" s="2"/>
      <c r="K30" s="2"/>
      <c r="L30" s="2"/>
    </row>
    <row r="31" spans="1:12">
      <c r="A31" s="2"/>
      <c r="B31" s="2"/>
      <c r="C31" s="3"/>
      <c r="D31" s="222"/>
      <c r="E31" s="136"/>
      <c r="F31" s="136"/>
      <c r="G31" s="224">
        <f ca="1">SUMIF(A13:A36,material!D28,E13:E35)</f>
        <v>0</v>
      </c>
      <c r="H31" s="223">
        <f ca="1">G31*(material!$D$6*material!$D$9)</f>
        <v>0</v>
      </c>
      <c r="I31" s="2"/>
      <c r="J31" s="2"/>
      <c r="K31" s="2"/>
      <c r="L31" s="2"/>
    </row>
    <row r="32" spans="1:12">
      <c r="A32" s="2"/>
      <c r="B32" s="2"/>
      <c r="C32" s="3"/>
      <c r="D32" s="222"/>
      <c r="E32" s="136"/>
      <c r="F32" s="136"/>
      <c r="G32" s="224">
        <f>SUMIF(A16:A37,material!D29,E15:E36)</f>
        <v>0</v>
      </c>
      <c r="H32" s="223">
        <f>G32*(material!$D$6*material!$D$9)</f>
        <v>0</v>
      </c>
      <c r="I32" s="2"/>
      <c r="J32" s="2"/>
      <c r="K32" s="2"/>
      <c r="L32" s="2"/>
    </row>
    <row r="33" spans="1:12">
      <c r="A33" s="2"/>
      <c r="B33" s="2"/>
      <c r="C33" s="3"/>
      <c r="D33" s="222"/>
      <c r="E33" s="136"/>
      <c r="F33" s="136"/>
      <c r="G33" s="224">
        <f>SUMIF(A17:A38,material!D30,E16:E37)</f>
        <v>0</v>
      </c>
      <c r="H33" s="223">
        <f>G33*(material!$D$6*material!$D$9)</f>
        <v>0</v>
      </c>
      <c r="I33" s="2"/>
      <c r="J33" s="2"/>
      <c r="K33" s="2"/>
      <c r="L33" s="2"/>
    </row>
    <row r="34" spans="1:12">
      <c r="A34" s="2"/>
      <c r="B34" s="2"/>
      <c r="C34" s="3"/>
      <c r="D34" s="222"/>
      <c r="E34" s="136"/>
      <c r="F34" s="136"/>
      <c r="G34" s="224">
        <f>SUMIF(A18:A39,material!D31,E17:E38)</f>
        <v>0</v>
      </c>
      <c r="H34" s="223">
        <f>G34*(material!$D$6*material!$D$9)</f>
        <v>0</v>
      </c>
      <c r="I34" s="2"/>
      <c r="J34" s="2"/>
      <c r="K34" s="2"/>
      <c r="L34" s="2"/>
    </row>
    <row r="35" spans="1:12">
      <c r="A35" s="2"/>
      <c r="B35" s="2"/>
      <c r="C35" s="3"/>
      <c r="D35" s="222"/>
      <c r="E35" s="136"/>
      <c r="F35" s="136"/>
      <c r="G35" s="224">
        <f>SUMIF(A19:A40,material!D32,E18:E39)</f>
        <v>0</v>
      </c>
      <c r="H35" s="223">
        <f>G35*(material!$D$6*material!$D$9)</f>
        <v>0</v>
      </c>
      <c r="I35" s="2"/>
      <c r="J35" s="2"/>
      <c r="K35" s="2"/>
      <c r="L35" s="2"/>
    </row>
    <row r="36" spans="1:12">
      <c r="A36" s="2"/>
      <c r="B36" s="2"/>
      <c r="C36" s="3"/>
      <c r="D36" s="222"/>
      <c r="E36" s="136"/>
      <c r="F36" s="136"/>
      <c r="G36" s="224">
        <f>SUMIF(A20:A41,material!D33,G17:G38)</f>
        <v>0</v>
      </c>
      <c r="H36" s="223">
        <f>G36*(material!$D$6*material!$D$9)</f>
        <v>0</v>
      </c>
      <c r="I36" s="2"/>
      <c r="J36" s="2"/>
      <c r="K36" s="2"/>
      <c r="L36" s="2"/>
    </row>
    <row r="37" spans="1:12">
      <c r="A37" s="2"/>
      <c r="B37" s="2"/>
      <c r="C37" s="3"/>
      <c r="D37" s="222"/>
      <c r="E37" s="136"/>
      <c r="F37" s="136"/>
      <c r="G37" s="224">
        <f>SUMIF(A20:A42,material!D34,G17:G39)</f>
        <v>0</v>
      </c>
      <c r="H37" s="223">
        <f>G37*(material!$D$6*material!$D$9)</f>
        <v>0</v>
      </c>
      <c r="I37" s="2"/>
      <c r="J37" s="2"/>
      <c r="K37" s="2"/>
      <c r="L37" s="2"/>
    </row>
    <row r="38" spans="1:12">
      <c r="A38" s="2"/>
      <c r="B38" s="2"/>
      <c r="C38" s="3"/>
      <c r="D38" s="222"/>
      <c r="E38" s="136"/>
      <c r="F38" s="136"/>
      <c r="G38" s="224">
        <f>SUMIF(A21:A43,material!D35,G18:G40)</f>
        <v>0</v>
      </c>
      <c r="H38" s="223">
        <f>G38*(material!$D$6*material!$D$9)</f>
        <v>0</v>
      </c>
      <c r="I38" s="2"/>
      <c r="J38" s="2"/>
      <c r="K38" s="2"/>
      <c r="L38" s="2"/>
    </row>
    <row r="39" spans="1:12">
      <c r="A39" s="2"/>
      <c r="B39" s="2"/>
      <c r="C39" s="3"/>
      <c r="D39" s="222"/>
      <c r="E39" s="136"/>
      <c r="F39" s="136"/>
      <c r="G39" s="224">
        <f>SUMIF(A22:A44,material!D36,G19:G41)</f>
        <v>0</v>
      </c>
      <c r="H39" s="223">
        <f>G39*(material!$D$6*material!$D$9)</f>
        <v>0</v>
      </c>
      <c r="I39" s="2"/>
      <c r="J39" s="2"/>
      <c r="K39" s="2"/>
      <c r="L39" s="2"/>
    </row>
    <row r="40" spans="1:12">
      <c r="A40" s="2"/>
      <c r="B40" s="2"/>
      <c r="C40" s="3"/>
      <c r="D40" s="222"/>
      <c r="E40" s="136"/>
      <c r="F40" s="136"/>
      <c r="G40" s="224">
        <f>SUMIF(A23:A45,material!D37,G20:G42)</f>
        <v>0</v>
      </c>
      <c r="H40" s="223">
        <f>G40*(material!$D$6*material!$D$9)</f>
        <v>0</v>
      </c>
      <c r="I40" s="2"/>
      <c r="J40" s="2"/>
      <c r="K40" s="2"/>
      <c r="L40" s="2"/>
    </row>
    <row r="41" spans="1:12">
      <c r="A41" s="2"/>
      <c r="B41" s="2"/>
      <c r="C41" s="3"/>
      <c r="D41" s="222"/>
      <c r="E41" s="136"/>
      <c r="F41" s="136"/>
      <c r="G41" s="224">
        <f>SUMIF(A24:A46,material!D38,G21:G43)</f>
        <v>0</v>
      </c>
      <c r="H41" s="223">
        <f>G41*(material!$D$6*material!$D$9)</f>
        <v>0</v>
      </c>
      <c r="I41" s="2"/>
      <c r="J41" s="2"/>
      <c r="K41" s="2"/>
      <c r="L41" s="2"/>
    </row>
    <row r="42" spans="1:12">
      <c r="A42" s="2"/>
      <c r="B42" s="2"/>
      <c r="C42" s="3"/>
      <c r="D42" s="222"/>
      <c r="E42" s="136"/>
      <c r="F42" s="136"/>
      <c r="G42" s="224">
        <f>SUMIF(A25:A47,material!D39,G22:G44)</f>
        <v>0</v>
      </c>
      <c r="H42" s="223">
        <f>G42*(material!$D$6*material!$D$9)</f>
        <v>0</v>
      </c>
      <c r="I42" s="2"/>
      <c r="J42" s="2"/>
      <c r="K42" s="2"/>
      <c r="L42" s="2"/>
    </row>
    <row r="43" spans="1:12">
      <c r="A43" s="2"/>
      <c r="B43" s="2"/>
      <c r="C43" s="3"/>
      <c r="D43" s="222"/>
      <c r="E43" s="136"/>
      <c r="F43" s="136"/>
      <c r="G43" s="224">
        <f>SUMIF(A26:A48,material!D40,G23:G45)</f>
        <v>0</v>
      </c>
      <c r="H43" s="223">
        <f>G43*(material!$D$6*material!$D$9)</f>
        <v>0</v>
      </c>
      <c r="I43" s="2"/>
      <c r="J43" s="2"/>
      <c r="K43" s="2"/>
      <c r="L43" s="2"/>
    </row>
    <row r="44" spans="1:12">
      <c r="A44" s="2"/>
      <c r="B44" s="2"/>
      <c r="C44" s="3"/>
      <c r="D44" s="222"/>
      <c r="E44" s="136"/>
      <c r="F44" s="136"/>
      <c r="G44" s="224">
        <f>SUMIF(A27:A49,material!D41,G24:G46)</f>
        <v>0</v>
      </c>
      <c r="H44" s="223">
        <f>G44*(material!$D$6*material!$D$9)</f>
        <v>0</v>
      </c>
      <c r="I44" s="2"/>
      <c r="J44" s="2"/>
      <c r="K44" s="2"/>
      <c r="L44" s="2"/>
    </row>
    <row r="45" spans="1:12">
      <c r="A45" s="2"/>
      <c r="B45" s="2"/>
      <c r="C45" s="3"/>
      <c r="D45" s="222"/>
      <c r="E45" s="136"/>
      <c r="F45" s="136"/>
      <c r="G45" s="224">
        <f>SUMIF(A28:A50,material!D42,G25:G47)</f>
        <v>0</v>
      </c>
      <c r="H45" s="223">
        <f>G45*(material!$D$6*material!$D$9)</f>
        <v>0</v>
      </c>
      <c r="I45" s="2"/>
      <c r="J45" s="2"/>
      <c r="K45" s="2"/>
      <c r="L45" s="2"/>
    </row>
    <row r="46" spans="1:12">
      <c r="A46" s="2"/>
      <c r="B46" s="2"/>
      <c r="C46" s="3"/>
      <c r="D46" s="222"/>
      <c r="E46" s="136"/>
      <c r="F46" s="136"/>
      <c r="G46" s="224">
        <f>SUMIF(A29:A51,material!D43,G26:G48)</f>
        <v>0</v>
      </c>
      <c r="H46" s="223">
        <f>G46*(material!$D$6*material!$D$9)</f>
        <v>0</v>
      </c>
      <c r="I46" s="2"/>
      <c r="J46" s="2"/>
      <c r="K46" s="2"/>
      <c r="L46" s="2"/>
    </row>
    <row r="47" spans="1:12">
      <c r="A47" s="2"/>
      <c r="B47" s="2"/>
      <c r="C47" s="3"/>
      <c r="D47" s="222"/>
      <c r="E47" s="136"/>
      <c r="F47" s="136"/>
      <c r="G47" s="224">
        <f>SUMIF(A30:A52,material!D44,G27:G49)</f>
        <v>0</v>
      </c>
      <c r="H47" s="223">
        <f>G47*(material!$D$6*material!$D$9)</f>
        <v>0</v>
      </c>
      <c r="I47" s="2"/>
      <c r="J47" s="2"/>
      <c r="K47" s="2"/>
      <c r="L47" s="2"/>
    </row>
    <row r="48" spans="1:12">
      <c r="A48" s="2"/>
      <c r="B48" s="2"/>
      <c r="C48" s="3"/>
      <c r="D48" s="222"/>
      <c r="E48" s="136"/>
      <c r="F48" s="136"/>
      <c r="G48" s="224">
        <f>SUMIF(A31:A53,material!D45,G28:G50)</f>
        <v>0</v>
      </c>
      <c r="H48" s="223">
        <f>G48*(material!$D$6*material!$D$9)</f>
        <v>0</v>
      </c>
      <c r="I48" s="2"/>
      <c r="J48" s="2"/>
      <c r="K48" s="2"/>
      <c r="L48" s="2"/>
    </row>
    <row r="49" spans="1:12">
      <c r="A49" s="2"/>
      <c r="B49" s="2"/>
      <c r="C49" s="3"/>
      <c r="D49" s="222"/>
      <c r="E49" s="136"/>
      <c r="F49" s="136"/>
      <c r="G49" s="224">
        <f>SUMIF(A32:A54,material!D46,G29:G51)</f>
        <v>0</v>
      </c>
      <c r="H49" s="223">
        <f>G49*(material!$D$6*material!$D$9)</f>
        <v>0</v>
      </c>
      <c r="I49" s="2"/>
      <c r="J49" s="2"/>
      <c r="K49" s="2"/>
      <c r="L49" s="2"/>
    </row>
    <row r="50" spans="1:12">
      <c r="A50" s="2"/>
      <c r="B50" s="2"/>
      <c r="C50" s="3"/>
      <c r="D50" s="222"/>
      <c r="E50" s="136"/>
      <c r="F50" s="136"/>
      <c r="G50" s="224">
        <f>SUMIF(A33:A55,material!D47,G30:G52)</f>
        <v>0</v>
      </c>
      <c r="H50" s="223">
        <f>G50*(material!$D$6*material!$D$9)</f>
        <v>0</v>
      </c>
      <c r="I50" s="2"/>
      <c r="J50" s="2"/>
      <c r="K50" s="2"/>
      <c r="L50" s="2"/>
    </row>
    <row r="51" spans="1:12">
      <c r="A51" s="2"/>
      <c r="B51" s="2"/>
      <c r="C51" s="3"/>
      <c r="D51" s="222"/>
      <c r="E51" s="136"/>
      <c r="F51" s="136"/>
      <c r="G51" s="224">
        <f>SUMIF(A34:A56,material!D48,G31:G53)</f>
        <v>0</v>
      </c>
      <c r="H51" s="223">
        <f>G51*(material!$D$6*material!$D$9)</f>
        <v>0</v>
      </c>
      <c r="I51" s="2"/>
      <c r="J51" s="2"/>
      <c r="K51" s="2"/>
      <c r="L51" s="2"/>
    </row>
    <row r="52" spans="1:12">
      <c r="A52" s="2"/>
      <c r="B52" s="2"/>
      <c r="C52" s="3"/>
      <c r="D52" s="222"/>
      <c r="E52" s="136"/>
      <c r="F52" s="136"/>
      <c r="G52" s="224">
        <f>SUMIF(A35:A57,material!D49,G32:G54)</f>
        <v>0</v>
      </c>
      <c r="H52" s="223">
        <f>G52*(material!$D$6*material!$D$9)</f>
        <v>0</v>
      </c>
      <c r="I52" s="2"/>
      <c r="J52" s="2"/>
      <c r="K52" s="2"/>
      <c r="L52" s="2"/>
    </row>
    <row r="53" spans="1:12">
      <c r="A53" s="2"/>
      <c r="B53" s="2"/>
      <c r="C53" s="3"/>
      <c r="D53" s="222"/>
      <c r="E53" s="136"/>
      <c r="F53" s="136"/>
      <c r="G53" s="224">
        <f>SUMIF(A36:A58,material!D50,G33:G55)</f>
        <v>0</v>
      </c>
      <c r="H53" s="223">
        <f>G53*(material!$D$6*material!$D$9)</f>
        <v>0</v>
      </c>
      <c r="I53" s="2"/>
      <c r="J53" s="2"/>
      <c r="K53" s="2"/>
      <c r="L53" s="2"/>
    </row>
    <row r="54" spans="1:12">
      <c r="A54" s="2"/>
      <c r="B54" s="2"/>
      <c r="C54" s="3"/>
      <c r="D54" s="222"/>
      <c r="E54" s="136"/>
      <c r="F54" s="136"/>
      <c r="G54" s="224">
        <f>SUMIF(A37:A59,material!D51,G34:G56)</f>
        <v>0</v>
      </c>
      <c r="H54" s="223">
        <f>G54*(material!$D$6*material!$D$9)</f>
        <v>0</v>
      </c>
      <c r="I54" s="2"/>
      <c r="J54" s="2"/>
      <c r="K54" s="2"/>
      <c r="L54" s="2"/>
    </row>
    <row r="55" spans="1:12">
      <c r="A55" s="2"/>
      <c r="B55" s="2"/>
      <c r="C55" s="3"/>
      <c r="D55" s="222"/>
      <c r="E55" s="136"/>
      <c r="F55" s="136"/>
      <c r="G55" s="224">
        <f>SUMIF(A38:A60,material!D52,G35:G57)</f>
        <v>0</v>
      </c>
      <c r="H55" s="223">
        <f>G55*(material!$D$6*material!$D$9)</f>
        <v>0</v>
      </c>
      <c r="I55" s="2"/>
      <c r="J55" s="2"/>
      <c r="K55" s="2"/>
      <c r="L55" s="2"/>
    </row>
    <row r="56" spans="1:12">
      <c r="A56" s="2"/>
      <c r="B56" s="2"/>
      <c r="C56" s="3"/>
      <c r="D56" s="222"/>
      <c r="E56" s="136"/>
      <c r="F56" s="136"/>
      <c r="G56" s="224">
        <f>SUMIF(A39:A61,material!D53,G36:G58)</f>
        <v>0</v>
      </c>
      <c r="H56" s="223">
        <f>G56*(material!$D$6*material!$D$9)</f>
        <v>0</v>
      </c>
      <c r="I56" s="2"/>
      <c r="J56" s="2"/>
      <c r="K56" s="2"/>
      <c r="L56" s="2"/>
    </row>
    <row r="57" spans="1:12">
      <c r="A57" s="2"/>
      <c r="B57" s="2"/>
      <c r="C57" s="3"/>
      <c r="D57" s="222"/>
      <c r="E57" s="136"/>
      <c r="F57" s="136"/>
      <c r="G57" s="224">
        <f>SUMIF(A40:A62,material!D54,G37:G59)</f>
        <v>0</v>
      </c>
      <c r="H57" s="223">
        <f>G57*(material!$D$6*material!$D$9)</f>
        <v>0</v>
      </c>
      <c r="I57" s="2"/>
      <c r="J57" s="2"/>
      <c r="K57" s="2"/>
      <c r="L57" s="2"/>
    </row>
    <row r="58" spans="1:12">
      <c r="A58" s="2"/>
      <c r="B58" s="2"/>
      <c r="C58" s="3"/>
      <c r="D58" s="222"/>
      <c r="E58" s="136"/>
      <c r="F58" s="136"/>
      <c r="G58" s="224">
        <f>SUMIF(A41:A63,material!D55,G38:G60)</f>
        <v>0</v>
      </c>
      <c r="H58" s="223">
        <f>G58*(material!$D$6*material!$D$9)</f>
        <v>0</v>
      </c>
      <c r="I58" s="2"/>
      <c r="J58" s="2"/>
      <c r="K58" s="2"/>
      <c r="L58" s="2"/>
    </row>
    <row r="59" spans="1:12">
      <c r="A59" s="2"/>
      <c r="B59" s="2"/>
      <c r="C59" s="3"/>
      <c r="D59" s="222"/>
      <c r="E59" s="136"/>
      <c r="F59" s="136"/>
      <c r="G59" s="224">
        <f>SUMIF(A42:A63,material!D56,G39:G61)</f>
        <v>0</v>
      </c>
      <c r="H59" s="223">
        <f>G59*(material!$D$6*material!$D$9)</f>
        <v>0</v>
      </c>
      <c r="I59" s="2"/>
      <c r="J59" s="2"/>
      <c r="K59" s="2"/>
      <c r="L59" s="2"/>
    </row>
    <row r="60" spans="1:12">
      <c r="A60" s="2"/>
      <c r="B60" s="2"/>
      <c r="C60" s="3"/>
      <c r="D60" s="222"/>
      <c r="E60" s="136"/>
      <c r="F60" s="136"/>
      <c r="G60" s="224">
        <f>SUMIF(A43:A63,material!D57,G40:G62)</f>
        <v>0</v>
      </c>
      <c r="H60" s="223">
        <f>G60*(material!$D$6*material!$D$9)</f>
        <v>0</v>
      </c>
      <c r="I60" s="2"/>
      <c r="J60" s="2"/>
      <c r="K60" s="2"/>
      <c r="L60" s="2"/>
    </row>
    <row r="61" spans="1:12">
      <c r="A61" s="2"/>
      <c r="B61" s="2"/>
      <c r="C61" s="3"/>
      <c r="D61" s="222"/>
      <c r="E61" s="136"/>
      <c r="F61" s="136"/>
      <c r="G61" s="224">
        <f>SUMIF(A44:A63,material!D58,G41:G63)</f>
        <v>0</v>
      </c>
      <c r="H61" s="223">
        <f>G61*(material!$D$6*material!$D$9)</f>
        <v>0</v>
      </c>
      <c r="I61" s="2"/>
      <c r="J61" s="2"/>
      <c r="K61" s="2"/>
      <c r="L61" s="2"/>
    </row>
    <row r="62" spans="1:12">
      <c r="A62" s="2"/>
      <c r="B62" s="2"/>
      <c r="C62" s="3"/>
      <c r="D62" s="222"/>
      <c r="E62" s="136"/>
      <c r="F62" s="136"/>
      <c r="G62" s="224">
        <f>SUMIF(A45:A63,material!D59,G42:G64)</f>
        <v>0</v>
      </c>
      <c r="H62" s="223">
        <f>G62*(material!$D$6*material!$D$9)</f>
        <v>0</v>
      </c>
      <c r="I62" s="2"/>
      <c r="J62" s="2"/>
      <c r="K62" s="2"/>
      <c r="L62" s="2"/>
    </row>
    <row r="63" spans="1:12">
      <c r="A63" s="2"/>
      <c r="B63" s="2"/>
      <c r="C63" s="3"/>
      <c r="D63" s="222"/>
      <c r="E63" s="136"/>
      <c r="F63" s="136"/>
      <c r="G63" s="224">
        <f>SUMIF(A46:A63,material!D60,G43:G65)</f>
        <v>0</v>
      </c>
      <c r="H63" s="223">
        <f>G63*(material!$D$6*material!$D$9)</f>
        <v>0</v>
      </c>
      <c r="I63" s="2"/>
      <c r="J63" s="2"/>
      <c r="K63" s="2"/>
      <c r="L63" s="2"/>
    </row>
    <row r="64" spans="1:12">
      <c r="F64" s="136"/>
      <c r="G64" s="224">
        <f>SUMIF(A47:A63,material!D61,G44:G66)</f>
        <v>0</v>
      </c>
      <c r="H64" s="223">
        <f>G64*(material!$D$6*material!$D$9)</f>
        <v>0</v>
      </c>
      <c r="I64" s="2"/>
      <c r="J64" s="2"/>
      <c r="K64" s="2"/>
      <c r="L64" s="2"/>
    </row>
    <row r="65" spans="6:12">
      <c r="F65" s="136"/>
      <c r="G65" s="224">
        <f>SUMIF(A48:A63,material!D62,E47:E63)</f>
        <v>0</v>
      </c>
      <c r="H65" s="223">
        <f>G65*(material!$D$6*material!$D$9)</f>
        <v>0</v>
      </c>
      <c r="I65" s="2"/>
      <c r="J65" s="2"/>
      <c r="K65" s="2"/>
      <c r="L65" s="2"/>
    </row>
    <row r="66" spans="6:12">
      <c r="F66" s="136"/>
      <c r="G66" s="224">
        <f>SUMIF(A49:A63,material!D63,E48:E63)</f>
        <v>0</v>
      </c>
      <c r="H66" s="223">
        <f>G66*(material!$D$6*material!$D$9)</f>
        <v>0</v>
      </c>
      <c r="I66" s="2"/>
      <c r="J66" s="2"/>
      <c r="K66" s="2"/>
      <c r="L66" s="2"/>
    </row>
  </sheetData>
  <sheetProtection sheet="1" objects="1" scenarios="1" selectLockedCell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2</vt:i4>
      </vt:variant>
    </vt:vector>
  </HeadingPairs>
  <TitlesOfParts>
    <vt:vector size="13" baseType="lpstr">
      <vt:lpstr>mycut</vt:lpstr>
      <vt:lpstr>kalkulation</vt:lpstr>
      <vt:lpstr>angebot</vt:lpstr>
      <vt:lpstr>material</vt:lpstr>
      <vt:lpstr>schneiden</vt:lpstr>
      <vt:lpstr>drucken</vt:lpstr>
      <vt:lpstr>kleben</vt:lpstr>
      <vt:lpstr>verschluss</vt:lpstr>
      <vt:lpstr>bogenpreise</vt:lpstr>
      <vt:lpstr>facts-alt</vt:lpstr>
      <vt:lpstr>marge</vt:lpstr>
      <vt:lpstr>angebot!Druckbereich</vt:lpstr>
      <vt:lpstr>mycut!Druckbereich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bernhard</dc:creator>
  <cp:lastModifiedBy>michel optipac</cp:lastModifiedBy>
  <cp:lastPrinted>2025-02-28T13:09:15Z</cp:lastPrinted>
  <dcterms:created xsi:type="dcterms:W3CDTF">2018-10-26T12:55:50Z</dcterms:created>
  <dcterms:modified xsi:type="dcterms:W3CDTF">2026-05-11T12:53:22Z</dcterms:modified>
</cp:coreProperties>
</file>